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knbltdcom-my.sharepoint.com/personal/will_knbltd_com/Documents/Desktop/Materials for RAISE Grant/(2) Benefit Cost Analysis/"/>
    </mc:Choice>
  </mc:AlternateContent>
  <xr:revisionPtr revIDLastSave="7" documentId="8_{92AD5106-C9FC-44F0-81F3-265EA01CB907}" xr6:coauthVersionLast="47" xr6:coauthVersionMax="47" xr10:uidLastSave="{CD0BED3B-6805-4552-82A3-CEF652479C16}"/>
  <bookViews>
    <workbookView minimized="1" xWindow="2115" yWindow="285" windowWidth="22635" windowHeight="15315" xr2:uid="{9DCC15C9-B318-4F18-99C4-5460B8E4CAA6}"/>
  </bookViews>
  <sheets>
    <sheet name="BCA" sheetId="1" r:id="rId1"/>
    <sheet name="Explan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6" i="1" l="1"/>
  <c r="AE35" i="1"/>
  <c r="AE34" i="1"/>
  <c r="AE33" i="1"/>
  <c r="AE32" i="1"/>
  <c r="AE31" i="1"/>
  <c r="AE30" i="1"/>
  <c r="AE29" i="1"/>
  <c r="AE28" i="1"/>
  <c r="AE27" i="1"/>
  <c r="AE26" i="1"/>
  <c r="AE25" i="1"/>
  <c r="AE24" i="1"/>
  <c r="AE23" i="1"/>
  <c r="AE22" i="1"/>
  <c r="AE21" i="1"/>
  <c r="AE20" i="1"/>
  <c r="AE19" i="1"/>
  <c r="AE18" i="1"/>
  <c r="N18" i="1"/>
  <c r="O18" i="1" s="1"/>
  <c r="AE17" i="1"/>
  <c r="AE16" i="1"/>
  <c r="AE15" i="1"/>
  <c r="AE14" i="1"/>
  <c r="AE13" i="1"/>
  <c r="AE12" i="1"/>
  <c r="AE11" i="1"/>
  <c r="AE10" i="1"/>
  <c r="N10" i="1"/>
  <c r="O10" i="1" s="1"/>
  <c r="Y10" i="1" s="1"/>
  <c r="AE9" i="1"/>
  <c r="D9" i="1"/>
  <c r="I9" i="1" s="1"/>
  <c r="C9" i="1"/>
  <c r="F9" i="1" s="1"/>
  <c r="AE8" i="1"/>
  <c r="N8" i="1"/>
  <c r="O8" i="1" s="1"/>
  <c r="T8" i="1" s="1"/>
  <c r="V8" i="1" s="1"/>
  <c r="M8" i="1"/>
  <c r="M9" i="1" s="1"/>
  <c r="M10" i="1" s="1"/>
  <c r="M11" i="1" s="1"/>
  <c r="M12" i="1" s="1"/>
  <c r="M13" i="1" s="1"/>
  <c r="M14" i="1" s="1"/>
  <c r="M15" i="1" s="1"/>
  <c r="M16" i="1" s="1"/>
  <c r="M17" i="1" s="1"/>
  <c r="M18" i="1" s="1"/>
  <c r="M19" i="1" s="1"/>
  <c r="I8" i="1"/>
  <c r="H8" i="1"/>
  <c r="G8" i="1"/>
  <c r="F8" i="1"/>
  <c r="D8" i="1"/>
  <c r="AE7" i="1"/>
  <c r="Z7" i="1"/>
  <c r="T7" i="1"/>
  <c r="V7" i="1" s="1"/>
  <c r="S7" i="1"/>
  <c r="O7" i="1"/>
  <c r="P7" i="1" s="1"/>
  <c r="N7" i="1"/>
  <c r="G7" i="1"/>
  <c r="F7" i="1"/>
  <c r="D7" i="1"/>
  <c r="I7" i="1" s="1"/>
  <c r="AE6" i="1"/>
  <c r="AE37" i="1" s="1"/>
  <c r="AE40" i="1" s="1"/>
  <c r="AK5" i="1" s="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AF5" i="1"/>
  <c r="AG5" i="1" s="1"/>
  <c r="AE5" i="1"/>
  <c r="N19" i="1" l="1"/>
  <c r="O19" i="1" s="1"/>
  <c r="M20" i="1"/>
  <c r="E9" i="1"/>
  <c r="N11" i="1"/>
  <c r="O11" i="1" s="1"/>
  <c r="S8" i="1"/>
  <c r="H9" i="1"/>
  <c r="P18" i="1"/>
  <c r="Z18" i="1"/>
  <c r="S10" i="1"/>
  <c r="R8" i="1"/>
  <c r="X10" i="1"/>
  <c r="AA10" i="1" s="1"/>
  <c r="AB10" i="1" s="1"/>
  <c r="N14" i="1"/>
  <c r="O14" i="1" s="1"/>
  <c r="X18" i="1"/>
  <c r="E7" i="1"/>
  <c r="G9" i="1"/>
  <c r="C10" i="1"/>
  <c r="Y18" i="1"/>
  <c r="P10" i="1"/>
  <c r="Z10" i="1"/>
  <c r="S18" i="1"/>
  <c r="N17" i="1"/>
  <c r="O17" i="1" s="1"/>
  <c r="J7" i="1"/>
  <c r="H7" i="1"/>
  <c r="K7" i="1"/>
  <c r="N9" i="1"/>
  <c r="O9" i="1" s="1"/>
  <c r="Q18" i="1"/>
  <c r="U18" i="1" s="1"/>
  <c r="W18" i="1" s="1"/>
  <c r="P8" i="1"/>
  <c r="Z8" i="1"/>
  <c r="Q10" i="1"/>
  <c r="N16" i="1"/>
  <c r="O16" i="1" s="1"/>
  <c r="K8" i="1"/>
  <c r="J8" i="1"/>
  <c r="N12" i="1"/>
  <c r="O12" i="1" s="1"/>
  <c r="Y8" i="1"/>
  <c r="T10" i="1"/>
  <c r="V10" i="1" s="1"/>
  <c r="Q8" i="1"/>
  <c r="Y7" i="1"/>
  <c r="X7" i="1"/>
  <c r="AA7" i="1" s="1"/>
  <c r="X8" i="1"/>
  <c r="E8" i="1"/>
  <c r="Q7" i="1"/>
  <c r="N15" i="1"/>
  <c r="O15" i="1" s="1"/>
  <c r="K9" i="1"/>
  <c r="J9" i="1"/>
  <c r="T18" i="1"/>
  <c r="V18" i="1" s="1"/>
  <c r="R7" i="1"/>
  <c r="AF6" i="1"/>
  <c r="R10" i="1"/>
  <c r="N13" i="1"/>
  <c r="O13" i="1" s="1"/>
  <c r="R18" i="1"/>
  <c r="P16" i="1" l="1"/>
  <c r="Z16" i="1"/>
  <c r="X16" i="1"/>
  <c r="Y16" i="1"/>
  <c r="Q16" i="1"/>
  <c r="T16" i="1"/>
  <c r="V16" i="1" s="1"/>
  <c r="R16" i="1"/>
  <c r="S16" i="1"/>
  <c r="L7" i="1"/>
  <c r="P14" i="1"/>
  <c r="Z14" i="1"/>
  <c r="X14" i="1"/>
  <c r="T14" i="1"/>
  <c r="V14" i="1" s="1"/>
  <c r="S14" i="1"/>
  <c r="R14" i="1"/>
  <c r="Y14" i="1"/>
  <c r="Q14" i="1"/>
  <c r="U14" i="1" s="1"/>
  <c r="W14" i="1" s="1"/>
  <c r="C11" i="1"/>
  <c r="G10" i="1"/>
  <c r="F10" i="1"/>
  <c r="D10" i="1"/>
  <c r="AG6" i="1"/>
  <c r="U10" i="1"/>
  <c r="W10" i="1" s="1"/>
  <c r="P15" i="1"/>
  <c r="Z15" i="1"/>
  <c r="T15" i="1"/>
  <c r="V15" i="1" s="1"/>
  <c r="Q15" i="1"/>
  <c r="S15" i="1"/>
  <c r="R15" i="1"/>
  <c r="Y15" i="1"/>
  <c r="X15" i="1"/>
  <c r="AA15" i="1" s="1"/>
  <c r="AB15" i="1" s="1"/>
  <c r="P19" i="1"/>
  <c r="AC19" i="1" s="1"/>
  <c r="Z19" i="1"/>
  <c r="Y19" i="1"/>
  <c r="X19" i="1"/>
  <c r="AA19" i="1" s="1"/>
  <c r="AB19" i="1" s="1"/>
  <c r="T19" i="1"/>
  <c r="V19" i="1" s="1"/>
  <c r="S19" i="1"/>
  <c r="Q19" i="1"/>
  <c r="U19" i="1" s="1"/>
  <c r="W19" i="1" s="1"/>
  <c r="R19" i="1"/>
  <c r="U7" i="1"/>
  <c r="W7" i="1" s="1"/>
  <c r="AC7" i="1" s="1"/>
  <c r="P9" i="1"/>
  <c r="Z9" i="1"/>
  <c r="X9" i="1"/>
  <c r="T9" i="1"/>
  <c r="V9" i="1" s="1"/>
  <c r="S9" i="1"/>
  <c r="R9" i="1"/>
  <c r="Y9" i="1"/>
  <c r="Q9" i="1"/>
  <c r="U9" i="1" s="1"/>
  <c r="W9" i="1" s="1"/>
  <c r="AA18" i="1"/>
  <c r="AB18" i="1" s="1"/>
  <c r="AA8" i="1"/>
  <c r="AB8" i="1" s="1"/>
  <c r="P11" i="1"/>
  <c r="Z11" i="1"/>
  <c r="Y11" i="1"/>
  <c r="T11" i="1"/>
  <c r="V11" i="1" s="1"/>
  <c r="X11" i="1"/>
  <c r="S11" i="1"/>
  <c r="R11" i="1"/>
  <c r="Q11" i="1"/>
  <c r="L8" i="1"/>
  <c r="AF8" i="1" s="1"/>
  <c r="AG8" i="1" s="1"/>
  <c r="AH8" i="1" s="1"/>
  <c r="P17" i="1"/>
  <c r="Z17" i="1"/>
  <c r="X17" i="1"/>
  <c r="AA17" i="1" s="1"/>
  <c r="AB17" i="1" s="1"/>
  <c r="T17" i="1"/>
  <c r="V17" i="1" s="1"/>
  <c r="S17" i="1"/>
  <c r="R17" i="1"/>
  <c r="Q17" i="1"/>
  <c r="Y17" i="1"/>
  <c r="U8" i="1"/>
  <c r="W8" i="1" s="1"/>
  <c r="AC8" i="1" s="1"/>
  <c r="L9" i="1"/>
  <c r="AF9" i="1" s="1"/>
  <c r="AG9" i="1" s="1"/>
  <c r="P12" i="1"/>
  <c r="Z12" i="1"/>
  <c r="S12" i="1"/>
  <c r="Y12" i="1"/>
  <c r="R12" i="1"/>
  <c r="Q12" i="1"/>
  <c r="U12" i="1" s="1"/>
  <c r="W12" i="1" s="1"/>
  <c r="T12" i="1"/>
  <c r="V12" i="1" s="1"/>
  <c r="X12" i="1"/>
  <c r="AA12" i="1" s="1"/>
  <c r="AB12" i="1" s="1"/>
  <c r="AC18" i="1"/>
  <c r="P13" i="1"/>
  <c r="Z13" i="1"/>
  <c r="S13" i="1"/>
  <c r="Y13" i="1"/>
  <c r="X13" i="1"/>
  <c r="T13" i="1"/>
  <c r="V13" i="1" s="1"/>
  <c r="R13" i="1"/>
  <c r="Q13" i="1"/>
  <c r="U13" i="1" s="1"/>
  <c r="W13" i="1" s="1"/>
  <c r="AC10" i="1"/>
  <c r="N20" i="1"/>
  <c r="O20" i="1" s="1"/>
  <c r="M21" i="1"/>
  <c r="U11" i="1" l="1"/>
  <c r="W11" i="1" s="1"/>
  <c r="AC11" i="1" s="1"/>
  <c r="AA14" i="1"/>
  <c r="AB14" i="1" s="1"/>
  <c r="AC14" i="1" s="1"/>
  <c r="AC16" i="1"/>
  <c r="N21" i="1"/>
  <c r="O21" i="1" s="1"/>
  <c r="M22" i="1"/>
  <c r="AA11" i="1"/>
  <c r="AB11" i="1" s="1"/>
  <c r="AF7" i="1"/>
  <c r="AC13" i="1"/>
  <c r="U15" i="1"/>
  <c r="W15" i="1" s="1"/>
  <c r="AC15" i="1" s="1"/>
  <c r="AC12" i="1"/>
  <c r="AH9" i="1"/>
  <c r="G11" i="1"/>
  <c r="D11" i="1"/>
  <c r="C12" i="1"/>
  <c r="F11" i="1"/>
  <c r="AC17" i="1"/>
  <c r="K10" i="1"/>
  <c r="J10" i="1"/>
  <c r="I10" i="1"/>
  <c r="H10" i="1"/>
  <c r="E10" i="1"/>
  <c r="L10" i="1" s="1"/>
  <c r="AF10" i="1" s="1"/>
  <c r="AG10" i="1" s="1"/>
  <c r="AH10" i="1" s="1"/>
  <c r="U16" i="1"/>
  <c r="W16" i="1" s="1"/>
  <c r="P20" i="1"/>
  <c r="Z20" i="1"/>
  <c r="X20" i="1"/>
  <c r="T20" i="1"/>
  <c r="V20" i="1" s="1"/>
  <c r="R20" i="1"/>
  <c r="S20" i="1"/>
  <c r="Y20" i="1"/>
  <c r="Q20" i="1"/>
  <c r="U20" i="1" s="1"/>
  <c r="W20" i="1" s="1"/>
  <c r="U17" i="1"/>
  <c r="W17" i="1" s="1"/>
  <c r="AA9" i="1"/>
  <c r="AB9" i="1" s="1"/>
  <c r="AC9" i="1" s="1"/>
  <c r="AA13" i="1"/>
  <c r="AB13" i="1" s="1"/>
  <c r="AA16" i="1"/>
  <c r="AB16" i="1" s="1"/>
  <c r="K11" i="1" l="1"/>
  <c r="J11" i="1"/>
  <c r="H11" i="1"/>
  <c r="E11" i="1"/>
  <c r="I11" i="1"/>
  <c r="P21" i="1"/>
  <c r="AC21" i="1" s="1"/>
  <c r="Z21" i="1"/>
  <c r="S21" i="1"/>
  <c r="R21" i="1"/>
  <c r="Q21" i="1"/>
  <c r="U21" i="1" s="1"/>
  <c r="W21" i="1" s="1"/>
  <c r="T21" i="1"/>
  <c r="V21" i="1" s="1"/>
  <c r="Y21" i="1"/>
  <c r="X21" i="1"/>
  <c r="AA21" i="1" s="1"/>
  <c r="AB21" i="1" s="1"/>
  <c r="C13" i="1"/>
  <c r="D12" i="1"/>
  <c r="G12" i="1"/>
  <c r="F12" i="1"/>
  <c r="AG7" i="1"/>
  <c r="AA20" i="1"/>
  <c r="AB20" i="1" s="1"/>
  <c r="AC20" i="1" s="1"/>
  <c r="N22" i="1"/>
  <c r="O22" i="1" s="1"/>
  <c r="M23" i="1"/>
  <c r="G13" i="1" l="1"/>
  <c r="F13" i="1"/>
  <c r="D13" i="1"/>
  <c r="C14" i="1"/>
  <c r="P22" i="1"/>
  <c r="Z22" i="1"/>
  <c r="Y22" i="1"/>
  <c r="X22" i="1"/>
  <c r="AA22" i="1" s="1"/>
  <c r="AB22" i="1" s="1"/>
  <c r="Q22" i="1"/>
  <c r="R22" i="1"/>
  <c r="T22" i="1"/>
  <c r="V22" i="1" s="1"/>
  <c r="S22" i="1"/>
  <c r="L11" i="1"/>
  <c r="AH7" i="1"/>
  <c r="N23" i="1"/>
  <c r="O23" i="1" s="1"/>
  <c r="M24" i="1"/>
  <c r="K12" i="1"/>
  <c r="J12" i="1"/>
  <c r="I12" i="1"/>
  <c r="H12" i="1"/>
  <c r="E12" i="1"/>
  <c r="L12" i="1" s="1"/>
  <c r="AF12" i="1" s="1"/>
  <c r="AG12" i="1" s="1"/>
  <c r="AH12" i="1" s="1"/>
  <c r="P23" i="1" l="1"/>
  <c r="Z23" i="1"/>
  <c r="Y23" i="1"/>
  <c r="X23" i="1"/>
  <c r="AA23" i="1" s="1"/>
  <c r="AB23" i="1" s="1"/>
  <c r="S23" i="1"/>
  <c r="T23" i="1"/>
  <c r="V23" i="1" s="1"/>
  <c r="R23" i="1"/>
  <c r="Q23" i="1"/>
  <c r="U23" i="1" s="1"/>
  <c r="W23" i="1" s="1"/>
  <c r="U22" i="1"/>
  <c r="W22" i="1" s="1"/>
  <c r="AF11" i="1"/>
  <c r="AC22" i="1"/>
  <c r="F14" i="1"/>
  <c r="G14" i="1"/>
  <c r="D14" i="1"/>
  <c r="C15" i="1"/>
  <c r="N24" i="1"/>
  <c r="O24" i="1" s="1"/>
  <c r="M25" i="1"/>
  <c r="K13" i="1"/>
  <c r="J13" i="1"/>
  <c r="H13" i="1"/>
  <c r="I13" i="1"/>
  <c r="E13" i="1"/>
  <c r="L13" i="1" s="1"/>
  <c r="AF13" i="1" s="1"/>
  <c r="AG13" i="1" s="1"/>
  <c r="AH13" i="1" s="1"/>
  <c r="AG11" i="1" l="1"/>
  <c r="AH11" i="1" s="1"/>
  <c r="N25" i="1"/>
  <c r="O25" i="1" s="1"/>
  <c r="M26" i="1"/>
  <c r="P24" i="1"/>
  <c r="Z24" i="1"/>
  <c r="Y24" i="1"/>
  <c r="S24" i="1"/>
  <c r="R24" i="1"/>
  <c r="Q24" i="1"/>
  <c r="U24" i="1" s="1"/>
  <c r="W24" i="1" s="1"/>
  <c r="X24" i="1"/>
  <c r="AA24" i="1" s="1"/>
  <c r="AB24" i="1" s="1"/>
  <c r="T24" i="1"/>
  <c r="V24" i="1" s="1"/>
  <c r="G15" i="1"/>
  <c r="C16" i="1"/>
  <c r="F15" i="1"/>
  <c r="D15" i="1"/>
  <c r="AC23" i="1"/>
  <c r="K14" i="1"/>
  <c r="J14" i="1"/>
  <c r="E14" i="1"/>
  <c r="H14" i="1"/>
  <c r="I14" i="1"/>
  <c r="K15" i="1" l="1"/>
  <c r="J15" i="1"/>
  <c r="I15" i="1"/>
  <c r="H15" i="1"/>
  <c r="E15" i="1"/>
  <c r="L15" i="1" s="1"/>
  <c r="AF15" i="1" s="1"/>
  <c r="AG15" i="1" s="1"/>
  <c r="AH15" i="1" s="1"/>
  <c r="C17" i="1"/>
  <c r="G16" i="1"/>
  <c r="F16" i="1"/>
  <c r="D16" i="1"/>
  <c r="AC24" i="1"/>
  <c r="N26" i="1"/>
  <c r="O26" i="1" s="1"/>
  <c r="M27" i="1"/>
  <c r="P25" i="1"/>
  <c r="Z25" i="1"/>
  <c r="Y25" i="1"/>
  <c r="T25" i="1"/>
  <c r="V25" i="1" s="1"/>
  <c r="R25" i="1"/>
  <c r="Q25" i="1"/>
  <c r="S25" i="1"/>
  <c r="X25" i="1"/>
  <c r="L14" i="1"/>
  <c r="N27" i="1" l="1"/>
  <c r="O27" i="1" s="1"/>
  <c r="M28" i="1"/>
  <c r="K16" i="1"/>
  <c r="J16" i="1"/>
  <c r="I16" i="1"/>
  <c r="E16" i="1"/>
  <c r="L16" i="1" s="1"/>
  <c r="AF16" i="1" s="1"/>
  <c r="AG16" i="1" s="1"/>
  <c r="AH16" i="1" s="1"/>
  <c r="H16" i="1"/>
  <c r="P26" i="1"/>
  <c r="Z26" i="1"/>
  <c r="Y26" i="1"/>
  <c r="T26" i="1"/>
  <c r="V26" i="1" s="1"/>
  <c r="S26" i="1"/>
  <c r="R26" i="1"/>
  <c r="Q26" i="1"/>
  <c r="U26" i="1" s="1"/>
  <c r="W26" i="1" s="1"/>
  <c r="X26" i="1"/>
  <c r="AA26" i="1" s="1"/>
  <c r="AB26" i="1" s="1"/>
  <c r="AF14" i="1"/>
  <c r="D17" i="1"/>
  <c r="C18" i="1"/>
  <c r="G17" i="1"/>
  <c r="F17" i="1"/>
  <c r="AA25" i="1"/>
  <c r="AB25" i="1" s="1"/>
  <c r="U25" i="1"/>
  <c r="W25" i="1" s="1"/>
  <c r="AC25" i="1" s="1"/>
  <c r="AG14" i="1" l="1"/>
  <c r="AH14" i="1" s="1"/>
  <c r="AC26" i="1"/>
  <c r="K17" i="1"/>
  <c r="J17" i="1"/>
  <c r="E17" i="1"/>
  <c r="I17" i="1"/>
  <c r="H17" i="1"/>
  <c r="N28" i="1"/>
  <c r="O28" i="1" s="1"/>
  <c r="M29" i="1"/>
  <c r="C19" i="1"/>
  <c r="G18" i="1"/>
  <c r="F18" i="1"/>
  <c r="D18" i="1"/>
  <c r="P27" i="1"/>
  <c r="AC27" i="1" s="1"/>
  <c r="Z27" i="1"/>
  <c r="Y27" i="1"/>
  <c r="S27" i="1"/>
  <c r="R27" i="1"/>
  <c r="Q27" i="1"/>
  <c r="U27" i="1" s="1"/>
  <c r="W27" i="1" s="1"/>
  <c r="T27" i="1"/>
  <c r="V27" i="1" s="1"/>
  <c r="X27" i="1"/>
  <c r="AA27" i="1" s="1"/>
  <c r="AB27" i="1" s="1"/>
  <c r="Q28" i="1" l="1"/>
  <c r="P28" i="1"/>
  <c r="Z28" i="1"/>
  <c r="Y28" i="1"/>
  <c r="T28" i="1"/>
  <c r="V28" i="1" s="1"/>
  <c r="S28" i="1"/>
  <c r="R28" i="1"/>
  <c r="X28" i="1"/>
  <c r="AA28" i="1" s="1"/>
  <c r="AB28" i="1" s="1"/>
  <c r="K18" i="1"/>
  <c r="J18" i="1"/>
  <c r="I18" i="1"/>
  <c r="H18" i="1"/>
  <c r="E18" i="1"/>
  <c r="L18" i="1" s="1"/>
  <c r="AF18" i="1" s="1"/>
  <c r="AG18" i="1" s="1"/>
  <c r="AH18" i="1" s="1"/>
  <c r="G19" i="1"/>
  <c r="D19" i="1"/>
  <c r="F19" i="1"/>
  <c r="C20" i="1"/>
  <c r="L17" i="1"/>
  <c r="AF17" i="1" s="1"/>
  <c r="N29" i="1"/>
  <c r="O29" i="1" s="1"/>
  <c r="M30" i="1"/>
  <c r="K19" i="1" l="1"/>
  <c r="J19" i="1"/>
  <c r="H19" i="1"/>
  <c r="E19" i="1"/>
  <c r="I19" i="1"/>
  <c r="Q29" i="1"/>
  <c r="P29" i="1"/>
  <c r="Z29" i="1"/>
  <c r="Y29" i="1"/>
  <c r="T29" i="1"/>
  <c r="V29" i="1" s="1"/>
  <c r="R29" i="1"/>
  <c r="S29" i="1"/>
  <c r="X29" i="1"/>
  <c r="AA29" i="1" s="1"/>
  <c r="AB29" i="1" s="1"/>
  <c r="AG17" i="1"/>
  <c r="AH17" i="1" s="1"/>
  <c r="AC28" i="1"/>
  <c r="N30" i="1"/>
  <c r="O30" i="1" s="1"/>
  <c r="M31" i="1"/>
  <c r="F20" i="1"/>
  <c r="C21" i="1"/>
  <c r="G20" i="1"/>
  <c r="D20" i="1"/>
  <c r="U28" i="1"/>
  <c r="W28" i="1" s="1"/>
  <c r="L19" i="1" l="1"/>
  <c r="AF19" i="1" s="1"/>
  <c r="AG19" i="1" s="1"/>
  <c r="AH19" i="1" s="1"/>
  <c r="K20" i="1"/>
  <c r="J20" i="1"/>
  <c r="E20" i="1"/>
  <c r="I20" i="1"/>
  <c r="H20" i="1"/>
  <c r="U29" i="1"/>
  <c r="W29" i="1" s="1"/>
  <c r="C22" i="1"/>
  <c r="G21" i="1"/>
  <c r="F21" i="1"/>
  <c r="D21" i="1"/>
  <c r="N31" i="1"/>
  <c r="O31" i="1" s="1"/>
  <c r="M32" i="1"/>
  <c r="AC29" i="1"/>
  <c r="Q30" i="1"/>
  <c r="U30" i="1" s="1"/>
  <c r="W30" i="1" s="1"/>
  <c r="P30" i="1"/>
  <c r="Z30" i="1"/>
  <c r="Y30" i="1"/>
  <c r="T30" i="1"/>
  <c r="V30" i="1" s="1"/>
  <c r="S30" i="1"/>
  <c r="R30" i="1"/>
  <c r="X30" i="1"/>
  <c r="AA30" i="1" s="1"/>
  <c r="AB30" i="1" s="1"/>
  <c r="C23" i="1" l="1"/>
  <c r="G22" i="1"/>
  <c r="D22" i="1"/>
  <c r="F22" i="1"/>
  <c r="K21" i="1"/>
  <c r="J21" i="1"/>
  <c r="I21" i="1"/>
  <c r="H21" i="1"/>
  <c r="E21" i="1"/>
  <c r="L21" i="1" s="1"/>
  <c r="AF21" i="1" s="1"/>
  <c r="AG21" i="1" s="1"/>
  <c r="AH21" i="1" s="1"/>
  <c r="N32" i="1"/>
  <c r="O32" i="1" s="1"/>
  <c r="M33" i="1"/>
  <c r="L20" i="1"/>
  <c r="AF20" i="1" s="1"/>
  <c r="AG20" i="1" s="1"/>
  <c r="AH20" i="1" s="1"/>
  <c r="Q31" i="1"/>
  <c r="U31" i="1" s="1"/>
  <c r="W31" i="1" s="1"/>
  <c r="P31" i="1"/>
  <c r="Z31" i="1"/>
  <c r="Y31" i="1"/>
  <c r="T31" i="1"/>
  <c r="V31" i="1" s="1"/>
  <c r="S31" i="1"/>
  <c r="R31" i="1"/>
  <c r="X31" i="1"/>
  <c r="AC30" i="1"/>
  <c r="Q32" i="1" l="1"/>
  <c r="P32" i="1"/>
  <c r="Z32" i="1"/>
  <c r="Y32" i="1"/>
  <c r="X32" i="1"/>
  <c r="AA32" i="1" s="1"/>
  <c r="AB32" i="1" s="1"/>
  <c r="T32" i="1"/>
  <c r="V32" i="1" s="1"/>
  <c r="R32" i="1"/>
  <c r="S32" i="1"/>
  <c r="N33" i="1"/>
  <c r="O33" i="1" s="1"/>
  <c r="M34" i="1"/>
  <c r="AA31" i="1"/>
  <c r="AB31" i="1" s="1"/>
  <c r="AC31" i="1" s="1"/>
  <c r="K22" i="1"/>
  <c r="J22" i="1"/>
  <c r="H22" i="1"/>
  <c r="E22" i="1"/>
  <c r="I22" i="1"/>
  <c r="F23" i="1"/>
  <c r="D23" i="1"/>
  <c r="G23" i="1"/>
  <c r="C24" i="1"/>
  <c r="L22" i="1" l="1"/>
  <c r="AF22" i="1" s="1"/>
  <c r="AG22" i="1" s="1"/>
  <c r="AH22" i="1" s="1"/>
  <c r="Q33" i="1"/>
  <c r="P33" i="1"/>
  <c r="Z33" i="1"/>
  <c r="Y33" i="1"/>
  <c r="X33" i="1"/>
  <c r="S33" i="1"/>
  <c r="T33" i="1"/>
  <c r="V33" i="1" s="1"/>
  <c r="R33" i="1"/>
  <c r="K23" i="1"/>
  <c r="J23" i="1"/>
  <c r="E23" i="1"/>
  <c r="I23" i="1"/>
  <c r="H23" i="1"/>
  <c r="G24" i="1"/>
  <c r="F24" i="1"/>
  <c r="C25" i="1"/>
  <c r="D24" i="1"/>
  <c r="N34" i="1"/>
  <c r="O34" i="1" s="1"/>
  <c r="M35" i="1"/>
  <c r="U32" i="1"/>
  <c r="W32" i="1" s="1"/>
  <c r="AC32" i="1" s="1"/>
  <c r="L23" i="1" l="1"/>
  <c r="AF23" i="1" s="1"/>
  <c r="AG23" i="1" s="1"/>
  <c r="AH23" i="1" s="1"/>
  <c r="AA33" i="1"/>
  <c r="AB33" i="1" s="1"/>
  <c r="N35" i="1"/>
  <c r="O35" i="1" s="1"/>
  <c r="M36" i="1"/>
  <c r="N36" i="1" s="1"/>
  <c r="O36" i="1" s="1"/>
  <c r="K24" i="1"/>
  <c r="J24" i="1"/>
  <c r="I24" i="1"/>
  <c r="H24" i="1"/>
  <c r="E24" i="1"/>
  <c r="L24" i="1" s="1"/>
  <c r="AF24" i="1" s="1"/>
  <c r="AG24" i="1" s="1"/>
  <c r="AH24" i="1" s="1"/>
  <c r="U33" i="1"/>
  <c r="W33" i="1" s="1"/>
  <c r="AC33" i="1" s="1"/>
  <c r="Q34" i="1"/>
  <c r="U34" i="1" s="1"/>
  <c r="W34" i="1" s="1"/>
  <c r="P34" i="1"/>
  <c r="Z34" i="1"/>
  <c r="Y34" i="1"/>
  <c r="T34" i="1"/>
  <c r="V34" i="1" s="1"/>
  <c r="S34" i="1"/>
  <c r="R34" i="1"/>
  <c r="X34" i="1"/>
  <c r="G25" i="1"/>
  <c r="F25" i="1"/>
  <c r="C26" i="1"/>
  <c r="D25" i="1"/>
  <c r="Q35" i="1" l="1"/>
  <c r="P35" i="1"/>
  <c r="Z35" i="1"/>
  <c r="Y35" i="1"/>
  <c r="X35" i="1"/>
  <c r="AA35" i="1" s="1"/>
  <c r="AB35" i="1" s="1"/>
  <c r="T35" i="1"/>
  <c r="V35" i="1" s="1"/>
  <c r="S35" i="1"/>
  <c r="R35" i="1"/>
  <c r="K25" i="1"/>
  <c r="J25" i="1"/>
  <c r="I25" i="1"/>
  <c r="H25" i="1"/>
  <c r="E25" i="1"/>
  <c r="L25" i="1" s="1"/>
  <c r="AF25" i="1" s="1"/>
  <c r="AG25" i="1" s="1"/>
  <c r="AH25" i="1" s="1"/>
  <c r="G26" i="1"/>
  <c r="F26" i="1"/>
  <c r="C27" i="1"/>
  <c r="D26" i="1"/>
  <c r="AA34" i="1"/>
  <c r="AB34" i="1" s="1"/>
  <c r="AC34" i="1" s="1"/>
  <c r="Q36" i="1"/>
  <c r="P36" i="1"/>
  <c r="Z36" i="1"/>
  <c r="Y36" i="1"/>
  <c r="X36" i="1"/>
  <c r="AA36" i="1" s="1"/>
  <c r="AB36" i="1" s="1"/>
  <c r="T36" i="1"/>
  <c r="V36" i="1" s="1"/>
  <c r="S36" i="1"/>
  <c r="R36" i="1"/>
  <c r="O37" i="1"/>
  <c r="K26" i="1" l="1"/>
  <c r="J26" i="1"/>
  <c r="I26" i="1"/>
  <c r="H26" i="1"/>
  <c r="E26" i="1"/>
  <c r="L26" i="1" s="1"/>
  <c r="AF26" i="1" s="1"/>
  <c r="AG26" i="1" s="1"/>
  <c r="AH26" i="1" s="1"/>
  <c r="U35" i="1"/>
  <c r="W35" i="1" s="1"/>
  <c r="AC35" i="1" s="1"/>
  <c r="U36" i="1"/>
  <c r="W36" i="1" s="1"/>
  <c r="AC36" i="1" s="1"/>
  <c r="AC37" i="1" s="1"/>
  <c r="G27" i="1"/>
  <c r="F27" i="1"/>
  <c r="D27" i="1"/>
  <c r="C28" i="1"/>
  <c r="K27" i="1" l="1"/>
  <c r="J27" i="1"/>
  <c r="I27" i="1"/>
  <c r="H27" i="1"/>
  <c r="E27" i="1"/>
  <c r="L27" i="1" s="1"/>
  <c r="AF27" i="1" s="1"/>
  <c r="AG27" i="1" s="1"/>
  <c r="AH27" i="1" s="1"/>
  <c r="G28" i="1"/>
  <c r="F28" i="1"/>
  <c r="D28" i="1"/>
  <c r="C29" i="1"/>
  <c r="K28" i="1" l="1"/>
  <c r="J28" i="1"/>
  <c r="I28" i="1"/>
  <c r="H28" i="1"/>
  <c r="E28" i="1"/>
  <c r="L28" i="1" s="1"/>
  <c r="AF28" i="1" s="1"/>
  <c r="AG28" i="1" s="1"/>
  <c r="AH28" i="1" s="1"/>
  <c r="F29" i="1"/>
  <c r="G29" i="1"/>
  <c r="D29" i="1"/>
  <c r="C30" i="1"/>
  <c r="G30" i="1" l="1"/>
  <c r="F30" i="1"/>
  <c r="D30" i="1"/>
  <c r="C31" i="1"/>
  <c r="K29" i="1"/>
  <c r="J29" i="1"/>
  <c r="I29" i="1"/>
  <c r="H29" i="1"/>
  <c r="E29" i="1"/>
  <c r="L29" i="1" s="1"/>
  <c r="AF29" i="1" s="1"/>
  <c r="AG29" i="1" s="1"/>
  <c r="AH29" i="1" s="1"/>
  <c r="K30" i="1" l="1"/>
  <c r="J30" i="1"/>
  <c r="I30" i="1"/>
  <c r="H30" i="1"/>
  <c r="E30" i="1"/>
  <c r="L30" i="1" s="1"/>
  <c r="AF30" i="1" s="1"/>
  <c r="AG30" i="1" s="1"/>
  <c r="AH30" i="1" s="1"/>
  <c r="G31" i="1"/>
  <c r="F31" i="1"/>
  <c r="D31" i="1"/>
  <c r="C32" i="1"/>
  <c r="K31" i="1" l="1"/>
  <c r="J31" i="1"/>
  <c r="I31" i="1"/>
  <c r="H31" i="1"/>
  <c r="E31" i="1"/>
  <c r="L31" i="1" s="1"/>
  <c r="AF31" i="1" s="1"/>
  <c r="AG31" i="1" s="1"/>
  <c r="AH31" i="1" s="1"/>
  <c r="G32" i="1"/>
  <c r="F32" i="1"/>
  <c r="C33" i="1"/>
  <c r="D32" i="1"/>
  <c r="K32" i="1" l="1"/>
  <c r="J32" i="1"/>
  <c r="I32" i="1"/>
  <c r="H32" i="1"/>
  <c r="E32" i="1"/>
  <c r="L32" i="1" s="1"/>
  <c r="AF32" i="1" s="1"/>
  <c r="AG32" i="1" s="1"/>
  <c r="AH32" i="1" s="1"/>
  <c r="C34" i="1"/>
  <c r="G33" i="1"/>
  <c r="F33" i="1"/>
  <c r="D33" i="1"/>
  <c r="K33" i="1" l="1"/>
  <c r="J33" i="1"/>
  <c r="I33" i="1"/>
  <c r="H33" i="1"/>
  <c r="E33" i="1"/>
  <c r="L33" i="1" s="1"/>
  <c r="AF33" i="1" s="1"/>
  <c r="AG33" i="1" s="1"/>
  <c r="AH33" i="1" s="1"/>
  <c r="C35" i="1"/>
  <c r="G34" i="1"/>
  <c r="F34" i="1"/>
  <c r="D34" i="1"/>
  <c r="C36" i="1" l="1"/>
  <c r="D35" i="1"/>
  <c r="F35" i="1"/>
  <c r="G35" i="1"/>
  <c r="K34" i="1"/>
  <c r="J34" i="1"/>
  <c r="I34" i="1"/>
  <c r="H34" i="1"/>
  <c r="E34" i="1"/>
  <c r="L34" i="1" s="1"/>
  <c r="AF34" i="1" s="1"/>
  <c r="AG34" i="1" s="1"/>
  <c r="AH34" i="1" s="1"/>
  <c r="K35" i="1" l="1"/>
  <c r="J35" i="1"/>
  <c r="I35" i="1"/>
  <c r="E35" i="1"/>
  <c r="L35" i="1" s="1"/>
  <c r="AF35" i="1" s="1"/>
  <c r="AG35" i="1" s="1"/>
  <c r="AH35" i="1" s="1"/>
  <c r="H35" i="1"/>
  <c r="G36" i="1"/>
  <c r="D36" i="1"/>
  <c r="F36" i="1"/>
  <c r="K36" i="1" l="1"/>
  <c r="J36" i="1"/>
  <c r="I36" i="1"/>
  <c r="H36" i="1"/>
  <c r="E36" i="1"/>
  <c r="L36" i="1" s="1"/>
  <c r="AF36" i="1" l="1"/>
  <c r="L37" i="1"/>
  <c r="AG36" i="1" l="1"/>
  <c r="AF37" i="1"/>
  <c r="AH36" i="1" l="1"/>
  <c r="AG37" i="1"/>
  <c r="AH37" i="1" l="1"/>
  <c r="AI5" i="1" s="1"/>
  <c r="AL5" i="1"/>
  <c r="AJ5" i="1" s="1"/>
</calcChain>
</file>

<file path=xl/sharedStrings.xml><?xml version="1.0" encoding="utf-8"?>
<sst xmlns="http://schemas.openxmlformats.org/spreadsheetml/2006/main" count="67" uniqueCount="67">
  <si>
    <r>
      <t xml:space="preserve">Benefit Cost Analysis: </t>
    </r>
    <r>
      <rPr>
        <sz val="11"/>
        <color theme="1"/>
        <rFont val="Calibri"/>
        <family val="2"/>
        <scheme val="minor"/>
      </rPr>
      <t>Ardmore Municipal Airport (ADM) Air Cargo</t>
    </r>
  </si>
  <si>
    <r>
      <t xml:space="preserve">RAISE Application Title: </t>
    </r>
    <r>
      <rPr>
        <sz val="11"/>
        <color theme="1"/>
        <rFont val="Calibri"/>
        <family val="2"/>
        <scheme val="minor"/>
      </rPr>
      <t>International Air Cargo Development Project, Global Transportation &amp; Industrial Park, Ardmore, OK</t>
    </r>
  </si>
  <si>
    <t>Year</t>
  </si>
  <si>
    <t xml:space="preserve">Tons of Air Cargo to ADM instead of DFW area </t>
  </si>
  <si>
    <t>Truckloads into ADM</t>
  </si>
  <si>
    <t>Truck delay operation costs avoided by not going to DFW due to roadway congestion to, from and at airport 6hrs total</t>
  </si>
  <si>
    <t>Landing fee avoided</t>
  </si>
  <si>
    <t>Avoided delay costs at DFW - assume  Boeing 767-200 46.25 ton payload - ave delay at DFW 2019 and 2020 11min per flight</t>
  </si>
  <si>
    <t>Truck delay of four hours total in/out less time assuming normal highway speeds plus on airport wait time emissions savings co2 discounted 3%</t>
  </si>
  <si>
    <t>Truck delay of four hours total in/out less time assuming normal highway speeds plus on airport time emissions savings Nox</t>
  </si>
  <si>
    <t>Truck delay of four hours total in/out less time assuming normal highway speedsplus on airport wait time emissions savings SO2</t>
  </si>
  <si>
    <t>Truck delay of four hours total in/out less time assuming normal highway speedsplus airport wait time emissions savings PM2.5</t>
  </si>
  <si>
    <t>Total Avoided costs by DFW Air Cargo Traffic Relocating to ADM - except co2</t>
  </si>
  <si>
    <t>Air Cargo volume airport shift from OKC to ADM 10% OKC volume</t>
  </si>
  <si>
    <t>Truckloads of cargo from OKC to ADM</t>
  </si>
  <si>
    <t>Miles saved assuming a 25 mile (one way) shorter haul to an airport - 50 miles total</t>
  </si>
  <si>
    <t>Driver time and truck operation cost savings</t>
  </si>
  <si>
    <t>Emissions savings OKC diverted freight Nox</t>
  </si>
  <si>
    <t>Emission savings OKC diverted freight SO2</t>
  </si>
  <si>
    <t>Emissions savings OKC diverted freight PM2.5</t>
  </si>
  <si>
    <t>Emissions savings OKC diverted freight CO2</t>
  </si>
  <si>
    <t>Emissions savings total OKC diverted except CO2</t>
  </si>
  <si>
    <t>Emissions savings OKC diverted CO2 discounted 3%</t>
  </si>
  <si>
    <t>Emissions savings OKC diverted total except CO2 discounted 7%</t>
  </si>
  <si>
    <t>Avoided truck crashes resulting in fatalities 2019 dollars 2019 Oklahoma data</t>
  </si>
  <si>
    <t>Avoided Truck crashes resulting in injury - averaged KABCO B and A level  - 2019 dollars 2019 Oklahoma data</t>
  </si>
  <si>
    <t>Avoided PDO crashes - all vehicles - truck statistics not reported 2019 dollars 2019 Oklahoma data</t>
  </si>
  <si>
    <t>Total avoided crashes 2019 dollars</t>
  </si>
  <si>
    <t>Total avoided crashes at 7% discount rate</t>
  </si>
  <si>
    <t xml:space="preserve">Total benefit OKC diverted traffic </t>
  </si>
  <si>
    <t>Construction costs and maint costs</t>
  </si>
  <si>
    <t>Discounted construction and maint costs at 7% (2019)</t>
  </si>
  <si>
    <t xml:space="preserve">Avoided costs (benefits) and construction cost 7% discount </t>
  </si>
  <si>
    <t>Avoided costs including co2 discounted at 3%</t>
  </si>
  <si>
    <t>Avoided costs including CO2 at 3% and avoided crashes for OKC diverted traffic</t>
  </si>
  <si>
    <t>NPV</t>
  </si>
  <si>
    <t>BCR</t>
  </si>
  <si>
    <t xml:space="preserve">Residual value </t>
  </si>
  <si>
    <t>Discounted benefits</t>
  </si>
  <si>
    <t>Residual value</t>
  </si>
  <si>
    <t>Tons of air cargo.  The first two years are based upon experienced expectations of startup volumes at new aircargo facilities.</t>
  </si>
  <si>
    <t>Years 2025 - 2034 consider a growth period of 10 years for the new business at 12% per year.</t>
  </si>
  <si>
    <t>Years 2035 - 2044 are assuming an average growth rate of 5% -  50% domestic cargo and 50% international cargo forcasts - 3.5% for domestic 4.2% for international</t>
  </si>
  <si>
    <t>cargo.  This can be seen in the FAA Aerospace Forecast Fiscal Years 2020 - 2040 pg 23</t>
  </si>
  <si>
    <t>Years 2045 to 2052 we used an estimated GDP as per the FAA Forecast for out years</t>
  </si>
  <si>
    <t>Payload for a standard semi at 44,000 lbs was used as the vehicle assumed to be moving freight in and out of the airport</t>
  </si>
  <si>
    <t>I35 in the DFW area is one of the most congested roadways in the country.  We assumed that the delay compared to driving into Ardmore and unloading/loading right away</t>
  </si>
  <si>
    <t>would add an additional 6 hours of driving time each trip.  We used driver time as presented in the Feb 2021 BCA Guidance - truck operational cost were calculated</t>
  </si>
  <si>
    <t>by assuming that in an hours time a truck can travel 60 miles - in the BCA guideance the operationa costs for that truck are $.93 per mile - or $55.80/hr</t>
  </si>
  <si>
    <t>of that 6 hours we assumed 4 hours was due to congestion on the highway and 2 hours once on airport.</t>
  </si>
  <si>
    <t>Landing fee avoided.  This assumes that the cargo would be going to DFW if Ardmore is not built.  Ardmore more will be less expensive to fly into and out of because the airport</t>
  </si>
  <si>
    <t xml:space="preserve">does not have the infrastructure to maintain and because congestion issues at DFW drive up costs.  The tons of cargo forcasted to come into Ardmore are divided by the payload of </t>
  </si>
  <si>
    <t xml:space="preserve">the 767-200 (46.2 tons).  The number of aircraft landing is likely calculated to be lower than actual because the volume max of the shipment may well be reached before </t>
  </si>
  <si>
    <t xml:space="preserve">the payload limit.  The maximum landing weight of a fully loaded 727-200 is 283,000 lbs the landing fee is calculated on a dollar figure less than DFW (to calculate savings) - the landing fee at DFW varies, but </t>
  </si>
  <si>
    <t>is approximately $10 per ton of landed weight. We used a savings of $5 per ton.</t>
  </si>
  <si>
    <t>Delay costs for the aircraft are calculated from the overall delay time at DFW - from a FAA document "Calculating Delay Propagation Multipliers for Cost - Benefit Analysis" table 4-1 pg 4-3 dividied</t>
  </si>
  <si>
    <t>by the total number of flights from DFW.  Document can be found at http://www.faa.gov/regulations_policies/policy_guidance/benefit_cost/media/faabca.pdf</t>
  </si>
  <si>
    <t>Operating costs for the 767-200 are provided from the FAA at http://FAA.gov/regulations_policies/policy_guidance/media/econ-value-section-4-op-costs.pdf</t>
  </si>
  <si>
    <t>Table 4-7 2018 Part 121 Pg 4-8 costs were inflated to 2019 value</t>
  </si>
  <si>
    <t>The operating costs are assumed to be during flight - the delay may be as a holding pattern above the airport or waiting on a hold line.  In order to account for the time the aircraft may not be flying</t>
  </si>
  <si>
    <t>but is still operating - essentially using less fuel - we reduced the operating costs by 25%.</t>
  </si>
  <si>
    <t xml:space="preserve">The truck delay costs are calculated assuming that the trucking is running for four hours but moving at a slow speed - so the truck is running.  Once the truck is in the airport, delays will likely be with the </t>
  </si>
  <si>
    <t xml:space="preserve">truck shut off - such as waiting to get loaded or unloaded.  We assumed the truck get 6 mpg. The emissions values are as described in the BCA Guidance.  CO2   </t>
  </si>
  <si>
    <t>emissions are based upon the gallons burned.  We don’t know the fuel economy of the truck at slow highway speeds - but potentially similar engine speeds</t>
  </si>
  <si>
    <t>so assumed the fuel burn was similar to normal fuel economy. Assuming the miles traveled to Ardmore or DFW are the same the emissions would be similar - however</t>
  </si>
  <si>
    <t>traffic moves slower during congestion on I35 to the truck is running for the equilvalent of 33.4 more miles.</t>
  </si>
  <si>
    <t>Residual value assumes a 40 year life of the project, includes the discounted construction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</si>
</sst>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1">
    <xf numFmtId="0" fontId="0" fillId="0" borderId="0" xfId="0"/>
    <xf numFmtId="0" fontId="0" fillId="2" borderId="0" xfId="0" applyFill="1" applyAlignment="1">
      <alignment horizontal="center" vertical="center"/>
    </xf>
    <xf numFmtId="1" fontId="0" fillId="2" borderId="0" xfId="0" applyNumberFormat="1" applyFill="1" applyAlignment="1">
      <alignment horizontal="center" vertical="center"/>
    </xf>
    <xf numFmtId="164" fontId="0" fillId="2" borderId="0" xfId="0" applyNumberFormat="1" applyFill="1" applyAlignment="1">
      <alignment horizontal="center" vertical="center"/>
    </xf>
    <xf numFmtId="2" fontId="0" fillId="2" borderId="0" xfId="0" applyNumberForma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center" vertical="center"/>
    </xf>
    <xf numFmtId="1" fontId="0" fillId="0" borderId="1" xfId="0" applyNumberFormat="1"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0" fontId="0" fillId="0" borderId="5" xfId="0" applyBorder="1" applyAlignment="1">
      <alignment horizontal="center" vertical="center"/>
    </xf>
    <xf numFmtId="3" fontId="0" fillId="0" borderId="5" xfId="0" applyNumberFormat="1" applyBorder="1" applyAlignment="1">
      <alignment horizontal="center" vertical="center"/>
    </xf>
    <xf numFmtId="164"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 fillId="2" borderId="0" xfId="0" applyFont="1" applyFill="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 fontId="0" fillId="2" borderId="3" xfId="0" applyNumberFormat="1" applyFill="1" applyBorder="1" applyAlignment="1">
      <alignment horizontal="center" vertical="center"/>
    </xf>
    <xf numFmtId="164" fontId="0" fillId="2" borderId="3" xfId="0" applyNumberFormat="1" applyFill="1" applyBorder="1" applyAlignment="1">
      <alignment horizontal="center" vertical="center"/>
    </xf>
    <xf numFmtId="2" fontId="0" fillId="2" borderId="3" xfId="0" applyNumberFormat="1"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1" fontId="0" fillId="2" borderId="1" xfId="0" applyNumberFormat="1" applyFill="1" applyBorder="1" applyAlignment="1">
      <alignment horizontal="center" vertical="center"/>
    </xf>
    <xf numFmtId="164" fontId="0" fillId="2"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1" fontId="0" fillId="2" borderId="0" xfId="0" applyNumberFormat="1" applyFill="1" applyBorder="1" applyAlignment="1">
      <alignment horizontal="center" vertical="center"/>
    </xf>
    <xf numFmtId="164" fontId="0" fillId="2" borderId="0" xfId="0" applyNumberFormat="1" applyFill="1" applyBorder="1" applyAlignment="1">
      <alignment horizontal="center" vertical="center"/>
    </xf>
    <xf numFmtId="2" fontId="0" fillId="2" borderId="0" xfId="0" applyNumberFormat="1" applyFill="1" applyBorder="1" applyAlignment="1">
      <alignment horizontal="center" vertical="center"/>
    </xf>
    <xf numFmtId="0" fontId="1"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E9E87-2419-4097-884D-379C435859DA}">
  <sheetPr>
    <pageSetUpPr fitToPage="1"/>
  </sheetPr>
  <dimension ref="A1:IR1066"/>
  <sheetViews>
    <sheetView tabSelected="1" zoomScaleNormal="100" workbookViewId="0">
      <selection activeCell="AM5" sqref="AM5"/>
    </sheetView>
  </sheetViews>
  <sheetFormatPr defaultRowHeight="15" x14ac:dyDescent="0.25"/>
  <cols>
    <col min="1" max="1" width="9.140625" style="1"/>
    <col min="2" max="2" width="9.140625" style="16"/>
    <col min="3" max="3" width="15.7109375" style="12" customWidth="1"/>
    <col min="4" max="4" width="15.7109375" style="13" customWidth="1"/>
    <col min="5" max="11" width="15.7109375" style="14" customWidth="1"/>
    <col min="12" max="12" width="15.7109375" style="12" customWidth="1"/>
    <col min="13" max="15" width="15.7109375" style="13" customWidth="1"/>
    <col min="16" max="29" width="15.7109375" style="12" customWidth="1"/>
    <col min="30" max="34" width="15.7109375" style="14" customWidth="1"/>
    <col min="35" max="35" width="15.7109375" style="12" customWidth="1"/>
    <col min="36" max="36" width="15.7109375" style="15" customWidth="1"/>
    <col min="37" max="37" width="15.7109375" style="12" customWidth="1"/>
    <col min="38" max="38" width="15.7109375" style="22" customWidth="1"/>
    <col min="39" max="39" width="18.140625" style="36" customWidth="1"/>
    <col min="40" max="40" width="11.140625" style="36" bestFit="1" customWidth="1"/>
    <col min="41" max="252" width="9.140625" style="36"/>
    <col min="253" max="16384" width="9.140625" style="12"/>
  </cols>
  <sheetData>
    <row r="1" spans="1:252" s="1" customFormat="1" x14ac:dyDescent="0.25">
      <c r="B1" s="23" t="s">
        <v>0</v>
      </c>
      <c r="C1" s="23"/>
      <c r="D1" s="23"/>
      <c r="E1" s="23"/>
      <c r="F1" s="23"/>
      <c r="G1" s="23"/>
      <c r="H1" s="23"/>
      <c r="I1" s="23"/>
      <c r="J1" s="23"/>
      <c r="K1" s="23"/>
      <c r="L1" s="23"/>
      <c r="M1" s="2"/>
      <c r="N1" s="2"/>
      <c r="O1" s="2"/>
      <c r="AD1" s="3"/>
      <c r="AE1" s="3"/>
      <c r="AF1" s="3"/>
      <c r="AG1" s="3"/>
      <c r="AH1" s="3"/>
      <c r="AJ1" s="4"/>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1" customFormat="1" x14ac:dyDescent="0.25">
      <c r="B2" s="5" t="s">
        <v>1</v>
      </c>
      <c r="C2" s="5"/>
      <c r="D2" s="5"/>
      <c r="E2" s="5"/>
      <c r="F2" s="5"/>
      <c r="G2" s="5"/>
      <c r="H2" s="5"/>
      <c r="I2" s="5"/>
      <c r="J2" s="5"/>
      <c r="K2" s="5"/>
      <c r="L2" s="5"/>
      <c r="M2" s="2"/>
      <c r="N2" s="2"/>
      <c r="O2" s="2"/>
      <c r="AD2" s="3"/>
      <c r="AE2" s="3"/>
      <c r="AF2" s="3"/>
      <c r="AG2" s="3"/>
      <c r="AH2" s="3"/>
      <c r="AJ2" s="4"/>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row>
    <row r="3" spans="1:252" s="1" customFormat="1" x14ac:dyDescent="0.25">
      <c r="D3" s="2"/>
      <c r="E3" s="3"/>
      <c r="F3" s="3"/>
      <c r="G3" s="3"/>
      <c r="H3" s="3"/>
      <c r="I3" s="3"/>
      <c r="J3" s="3"/>
      <c r="K3" s="3"/>
      <c r="M3" s="2"/>
      <c r="N3" s="2"/>
      <c r="O3" s="2"/>
      <c r="AD3" s="3"/>
      <c r="AE3" s="3"/>
      <c r="AF3" s="3"/>
      <c r="AG3" s="3"/>
      <c r="AH3" s="3"/>
      <c r="AJ3" s="4"/>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row>
    <row r="4" spans="1:252" s="11" customFormat="1" ht="150" x14ac:dyDescent="0.25">
      <c r="A4" s="6"/>
      <c r="B4" s="7" t="s">
        <v>2</v>
      </c>
      <c r="C4" s="7" t="s">
        <v>3</v>
      </c>
      <c r="D4" s="8" t="s">
        <v>4</v>
      </c>
      <c r="E4" s="9" t="s">
        <v>5</v>
      </c>
      <c r="F4" s="9" t="s">
        <v>6</v>
      </c>
      <c r="G4" s="9" t="s">
        <v>7</v>
      </c>
      <c r="H4" s="9" t="s">
        <v>8</v>
      </c>
      <c r="I4" s="9" t="s">
        <v>9</v>
      </c>
      <c r="J4" s="9" t="s">
        <v>10</v>
      </c>
      <c r="K4" s="9" t="s">
        <v>11</v>
      </c>
      <c r="L4" s="7" t="s">
        <v>12</v>
      </c>
      <c r="M4" s="8" t="s">
        <v>13</v>
      </c>
      <c r="N4" s="8" t="s">
        <v>14</v>
      </c>
      <c r="O4" s="8" t="s">
        <v>15</v>
      </c>
      <c r="P4" s="7" t="s">
        <v>16</v>
      </c>
      <c r="Q4" s="7" t="s">
        <v>17</v>
      </c>
      <c r="R4" s="7" t="s">
        <v>18</v>
      </c>
      <c r="S4" s="7" t="s">
        <v>19</v>
      </c>
      <c r="T4" s="7" t="s">
        <v>20</v>
      </c>
      <c r="U4" s="7" t="s">
        <v>21</v>
      </c>
      <c r="V4" s="7" t="s">
        <v>22</v>
      </c>
      <c r="W4" s="7" t="s">
        <v>23</v>
      </c>
      <c r="X4" s="7" t="s">
        <v>24</v>
      </c>
      <c r="Y4" s="7" t="s">
        <v>25</v>
      </c>
      <c r="Z4" s="7" t="s">
        <v>26</v>
      </c>
      <c r="AA4" s="7" t="s">
        <v>27</v>
      </c>
      <c r="AB4" s="7" t="s">
        <v>28</v>
      </c>
      <c r="AC4" s="7" t="s">
        <v>29</v>
      </c>
      <c r="AD4" s="9" t="s">
        <v>30</v>
      </c>
      <c r="AE4" s="9" t="s">
        <v>31</v>
      </c>
      <c r="AF4" s="9" t="s">
        <v>32</v>
      </c>
      <c r="AG4" s="9" t="s">
        <v>33</v>
      </c>
      <c r="AH4" s="9" t="s">
        <v>34</v>
      </c>
      <c r="AI4" s="7" t="s">
        <v>35</v>
      </c>
      <c r="AJ4" s="10" t="s">
        <v>36</v>
      </c>
      <c r="AK4" s="7" t="s">
        <v>37</v>
      </c>
      <c r="AL4" s="7" t="s">
        <v>38</v>
      </c>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row>
    <row r="5" spans="1:252" x14ac:dyDescent="0.25">
      <c r="B5" s="12">
        <v>2021</v>
      </c>
      <c r="AD5" s="14">
        <v>14142236</v>
      </c>
      <c r="AE5" s="14">
        <f>AD5/(1+0.07)^2</f>
        <v>12352376.626779631</v>
      </c>
      <c r="AF5" s="14">
        <f>-AE5</f>
        <v>-12352376.626779631</v>
      </c>
      <c r="AG5" s="14">
        <f>AF5</f>
        <v>-12352376.626779631</v>
      </c>
      <c r="AI5" s="14">
        <f>AH37+AC37-AE5-AE6</f>
        <v>35673260.043901011</v>
      </c>
      <c r="AJ5" s="15">
        <f>SUM(AL5+AK5-AE13-AE21-AE26-AE31-AE36)/(AE5+AE6)</f>
        <v>2.2383901339473748</v>
      </c>
      <c r="AK5" s="14">
        <f>AE40</f>
        <v>768828.13174701738</v>
      </c>
      <c r="AL5" s="14">
        <f>SUM(AH7:AH36)+AC37</f>
        <v>64351594.208497681</v>
      </c>
      <c r="AN5" s="38"/>
    </row>
    <row r="6" spans="1:252" x14ac:dyDescent="0.25">
      <c r="B6" s="12">
        <f>SUM(B5+1)</f>
        <v>2022</v>
      </c>
      <c r="AD6" s="14">
        <v>20000000</v>
      </c>
      <c r="AE6" s="14">
        <f>AD6/(1+0.07)^3</f>
        <v>16325957.537817039</v>
      </c>
      <c r="AF6" s="14">
        <f>-AE6</f>
        <v>-16325957.537817039</v>
      </c>
      <c r="AG6" s="14">
        <f>AF6</f>
        <v>-16325957.537817039</v>
      </c>
      <c r="AL6" s="12"/>
    </row>
    <row r="7" spans="1:252" x14ac:dyDescent="0.25">
      <c r="B7" s="12">
        <f t="shared" ref="B7:B36" si="0">SUM(B6+1)</f>
        <v>2023</v>
      </c>
      <c r="C7" s="17">
        <v>25000</v>
      </c>
      <c r="D7" s="17">
        <f>SUM(C7*2000)/44000</f>
        <v>1136.3636363636363</v>
      </c>
      <c r="E7" s="14">
        <f>SUM(55.8+30.8)*D7*6</f>
        <v>590454.54545454541</v>
      </c>
      <c r="F7" s="14">
        <f>SUM(C7/46.25)*(283000/2000)*5</f>
        <v>382432.43243243243</v>
      </c>
      <c r="G7" s="14">
        <f>SUM(C7/46.25)*(8581*1.0179/60)*11*0.75</f>
        <v>649193.23581081082</v>
      </c>
      <c r="H7" s="14">
        <f>SUM(((D7*(33.4+60))/(6))*((10180/453)/(2203))*54)/(1+0.03)^4</f>
        <v>8657.5078405768309</v>
      </c>
      <c r="I7" s="14">
        <f>D7*(33.4+60)*0.8924/453/2203*16400</f>
        <v>1556.5207497593497</v>
      </c>
      <c r="J7" s="14">
        <f>D7*(33.4+60)*0.0066/453/2203*43000</f>
        <v>30.183103714681664</v>
      </c>
      <c r="K7" s="14">
        <f>D7*(33.4+60)*0.0116/453/2203*769000</f>
        <v>948.7151457943844</v>
      </c>
      <c r="L7" s="14">
        <f>SUM(E7+F7+G7+I7+J7+K7)</f>
        <v>1624615.6326970572</v>
      </c>
      <c r="M7" s="17">
        <v>10000</v>
      </c>
      <c r="N7" s="17">
        <f>SUM(M7*2000)/44000</f>
        <v>454.54545454545456</v>
      </c>
      <c r="O7" s="17">
        <f>SUM(N7*50)</f>
        <v>22727.272727272728</v>
      </c>
      <c r="P7" s="14">
        <f>SUM(O7/50*30.8)+(O7*0.93)</f>
        <v>35136.36363636364</v>
      </c>
      <c r="Q7" s="14">
        <f>SUM(O7*0.8924/453/2203*16400)</f>
        <v>333.30208774290145</v>
      </c>
      <c r="R7" s="14">
        <f>SUM(O7*0.0066/453/2203*43000)</f>
        <v>6.4631913735935056</v>
      </c>
      <c r="S7" s="14">
        <f>SUM(O7*0.0116/453/2203*769000)</f>
        <v>203.15099481678467</v>
      </c>
      <c r="T7" s="14">
        <f>SUM(O7/6*10180/453/2203*54)</f>
        <v>2086.5313377330403</v>
      </c>
      <c r="U7" s="14">
        <f>SUM(Q7+R7+S7)</f>
        <v>542.91627393327963</v>
      </c>
      <c r="V7" s="14">
        <f>T7/(1+0.03)^4</f>
        <v>1853.8560686460023</v>
      </c>
      <c r="W7" s="14">
        <f>SUM(U7/(1+0.07)^4)</f>
        <v>414.18822592638168</v>
      </c>
      <c r="X7" s="14">
        <f>SUM(165/45725660710)*O7*10900000</f>
        <v>893.91819309591347</v>
      </c>
      <c r="Y7" s="14">
        <f>SUM(1914/45725660710)*O7*331600</f>
        <v>315.45962980137767</v>
      </c>
      <c r="Z7" s="14">
        <f>SUM(50161/45725660710)*O7*4500</f>
        <v>112.19307043507284</v>
      </c>
      <c r="AA7" s="14">
        <f>+SUM(X7+Y7+Z7)</f>
        <v>1321.5708933323638</v>
      </c>
      <c r="AB7" s="14">
        <v>1322</v>
      </c>
      <c r="AC7" s="14">
        <f>SUM(P7+V7+W7+AB7)</f>
        <v>38726.407930936024</v>
      </c>
      <c r="AE7" s="14">
        <f t="shared" ref="AE7:AE35" si="1">AD7/(1+0.07)^3</f>
        <v>0</v>
      </c>
      <c r="AF7" s="14">
        <f>L7/(1+0.07)^4</f>
        <v>1239411.4876021459</v>
      </c>
      <c r="AG7" s="14">
        <f>AF7+H7</f>
        <v>1248068.9954427227</v>
      </c>
      <c r="AH7" s="14">
        <f>SUM(AG7+AB7)</f>
        <v>1249390.9954427227</v>
      </c>
      <c r="AL7" s="12"/>
    </row>
    <row r="8" spans="1:252" x14ac:dyDescent="0.25">
      <c r="B8" s="12">
        <f t="shared" si="0"/>
        <v>2024</v>
      </c>
      <c r="C8" s="17">
        <v>35000</v>
      </c>
      <c r="D8" s="17">
        <f t="shared" ref="D8:D36" si="2">SUM(C8*2000)/44000</f>
        <v>1590.909090909091</v>
      </c>
      <c r="E8" s="14">
        <f t="shared" ref="E8:E36" si="3">SUM(55.8+30.8)*D8*6</f>
        <v>826636.36363636353</v>
      </c>
      <c r="F8" s="14">
        <f t="shared" ref="F8:F36" si="4">SUM(C8/46.25)*(283000/2000)*5</f>
        <v>535405.40540540544</v>
      </c>
      <c r="G8" s="14">
        <f>SUM(C8/46.25)*(8581*1.0179/60)*11*0.75</f>
        <v>908870.53013513528</v>
      </c>
      <c r="H8" s="14">
        <f>SUM(((D8*(33.4+60))/(6))*((10180/453)/(2203))*54)/(1+0.03)^5</f>
        <v>11767.486385250064</v>
      </c>
      <c r="I8" s="14">
        <f>D8*(33.4+60)*0.8924/453/2203*16400</f>
        <v>2179.12904966309</v>
      </c>
      <c r="J8" s="14">
        <f t="shared" ref="J8:J36" si="5">D8*(33.4+60)*0.0066/453/2203*43000</f>
        <v>42.256345200554335</v>
      </c>
      <c r="K8" s="14">
        <f t="shared" ref="K8:K36" si="6">D8*(33.4+60)*0.0116/453/2203*769000</f>
        <v>1328.2012041121384</v>
      </c>
      <c r="L8" s="14">
        <f>SUM(E8+F8+G8+I8+J8+K8)</f>
        <v>2274461.88577588</v>
      </c>
      <c r="M8" s="17">
        <f>SUM(M7*0.05)+M7</f>
        <v>10500</v>
      </c>
      <c r="N8" s="17">
        <f t="shared" ref="N8:N36" si="7">SUM(M8*2000)/44000</f>
        <v>477.27272727272725</v>
      </c>
      <c r="O8" s="17">
        <f t="shared" ref="O8:O36" si="8">SUM(N8*50)</f>
        <v>23863.636363636364</v>
      </c>
      <c r="P8" s="14">
        <f t="shared" ref="P8:P36" si="9">SUM(O8/50*30.8)+(O8*0.93)</f>
        <v>36893.181818181823</v>
      </c>
      <c r="Q8" s="14">
        <f t="shared" ref="Q8:Q36" si="10">SUM(O8*0.8924/453/2203*16400)</f>
        <v>349.96719213004656</v>
      </c>
      <c r="R8" s="14">
        <f t="shared" ref="R8:R36" si="11">SUM(O8*0.0066/453/2203*43000)</f>
        <v>6.7863509422731791</v>
      </c>
      <c r="S8" s="14">
        <f t="shared" ref="S8:S36" si="12">SUM(O8*0.0116/453/2203*769000)</f>
        <v>213.30854455762395</v>
      </c>
      <c r="T8" s="14">
        <f t="shared" ref="T8:T36" si="13">SUM(O8/6*10180/453/2203*54)</f>
        <v>2190.8579046196924</v>
      </c>
      <c r="U8" s="14">
        <f t="shared" ref="U8:U36" si="14">SUM(Q8+R8+S8)</f>
        <v>570.06208762994368</v>
      </c>
      <c r="V8" s="14">
        <f>T8/(1+0.03)^5</f>
        <v>1889.8532738624297</v>
      </c>
      <c r="W8" s="14">
        <f t="shared" ref="W8:W36" si="15">SUM(U8/(1+0.07)^4)</f>
        <v>434.89763722270078</v>
      </c>
      <c r="X8" s="14">
        <f t="shared" ref="X8:X36" si="16">SUM(165/45725660710)*O8*10900000</f>
        <v>938.61410275070921</v>
      </c>
      <c r="Y8" s="14">
        <f t="shared" ref="Y8:Y36" si="17">SUM(1914/45725660710)*O8*331600</f>
        <v>331.23261129144657</v>
      </c>
      <c r="Z8" s="14">
        <f t="shared" ref="Z8:Z36" si="18">SUM(50161/45725660710)*O8*4500</f>
        <v>117.80272395682648</v>
      </c>
      <c r="AA8" s="14">
        <f t="shared" ref="AA8:AA36" si="19">+SUM(X8+Y8+Z8)</f>
        <v>1387.6494379989822</v>
      </c>
      <c r="AB8" s="14">
        <f>SUM(AA8)/(1+0.07)^2</f>
        <v>1212.0267604148678</v>
      </c>
      <c r="AC8" s="14">
        <f t="shared" ref="AC8:AC36" si="20">SUM(P8+V8+W8+AB8)</f>
        <v>40429.959489681823</v>
      </c>
      <c r="AE8" s="14">
        <f t="shared" si="1"/>
        <v>0</v>
      </c>
      <c r="AF8" s="14">
        <f>L8/(1+0.07)^5</f>
        <v>1621659.8903205644</v>
      </c>
      <c r="AG8" s="14">
        <f t="shared" ref="AG8:AG36" si="21">AF8+H8</f>
        <v>1633427.3767058144</v>
      </c>
      <c r="AH8" s="14">
        <f t="shared" ref="AH8:AH36" si="22">SUM(AG8+AB8)</f>
        <v>1634639.4034662293</v>
      </c>
      <c r="AL8" s="12"/>
    </row>
    <row r="9" spans="1:252" x14ac:dyDescent="0.25">
      <c r="B9" s="12">
        <f t="shared" si="0"/>
        <v>2025</v>
      </c>
      <c r="C9" s="17">
        <f>+SUM(C8*0.12)+C8</f>
        <v>39200</v>
      </c>
      <c r="D9" s="17">
        <f t="shared" si="2"/>
        <v>1781.8181818181818</v>
      </c>
      <c r="E9" s="14">
        <f t="shared" si="3"/>
        <v>925832.72727272718</v>
      </c>
      <c r="F9" s="14">
        <f t="shared" si="4"/>
        <v>599654.05405405408</v>
      </c>
      <c r="G9" s="14">
        <f t="shared" ref="G9:G36" si="23">SUM(C9/46.25)*(8581*1.0179/60)*11*0.75</f>
        <v>1017934.9937513515</v>
      </c>
      <c r="H9" s="14">
        <f>SUM(((D9*(33.4+60))/(6))*((10180/453)/(2203))*54)/(1+0.03)^6</f>
        <v>12795.713350951522</v>
      </c>
      <c r="I9" s="14">
        <f t="shared" ref="I9:I36" si="24">D9*(33.4+60)*0.8924/453/2203*16400</f>
        <v>2440.6245356226605</v>
      </c>
      <c r="J9" s="14">
        <f t="shared" si="5"/>
        <v>47.327106624620853</v>
      </c>
      <c r="K9" s="14">
        <f t="shared" si="6"/>
        <v>1487.5853486055948</v>
      </c>
      <c r="L9" s="14">
        <f>SUM(E9+F9+G9+I9+J9+K9)</f>
        <v>2547397.3120689858</v>
      </c>
      <c r="M9" s="17">
        <f t="shared" ref="M9:M17" si="25">SUM(M8*0.05)+M8</f>
        <v>11025</v>
      </c>
      <c r="N9" s="17">
        <f t="shared" si="7"/>
        <v>501.13636363636363</v>
      </c>
      <c r="O9" s="17">
        <f t="shared" si="8"/>
        <v>25056.81818181818</v>
      </c>
      <c r="P9" s="14">
        <f t="shared" si="9"/>
        <v>38737.840909090912</v>
      </c>
      <c r="Q9" s="14">
        <f t="shared" si="10"/>
        <v>367.46555173654878</v>
      </c>
      <c r="R9" s="14">
        <f t="shared" si="11"/>
        <v>7.1256684893868387</v>
      </c>
      <c r="S9" s="14">
        <f t="shared" si="12"/>
        <v>223.97397178550511</v>
      </c>
      <c r="T9" s="14">
        <f t="shared" si="13"/>
        <v>2300.4007998506763</v>
      </c>
      <c r="U9" s="14">
        <f t="shared" si="14"/>
        <v>598.56519201144079</v>
      </c>
      <c r="V9" s="14">
        <f>SUM(T9/(1+0.03)^6)</f>
        <v>1926.5494539374276</v>
      </c>
      <c r="W9" s="14">
        <f t="shared" si="15"/>
        <v>456.64251908383579</v>
      </c>
      <c r="X9" s="14">
        <f t="shared" si="16"/>
        <v>985.54480788824458</v>
      </c>
      <c r="Y9" s="14">
        <f t="shared" si="17"/>
        <v>347.79424185601886</v>
      </c>
      <c r="Z9" s="14">
        <f t="shared" si="18"/>
        <v>123.69286015466781</v>
      </c>
      <c r="AA9" s="14">
        <f t="shared" si="19"/>
        <v>1457.0319098989312</v>
      </c>
      <c r="AB9" s="14">
        <f>SUM(AA9)/(1+0.07)^3</f>
        <v>1189.3720546127206</v>
      </c>
      <c r="AC9" s="14">
        <f t="shared" si="20"/>
        <v>42310.404936724895</v>
      </c>
      <c r="AE9" s="14">
        <f t="shared" si="1"/>
        <v>0</v>
      </c>
      <c r="AF9" s="14">
        <f>L9/(1+0.07)^6</f>
        <v>1697438.3898682545</v>
      </c>
      <c r="AG9" s="14">
        <f t="shared" si="21"/>
        <v>1710234.103219206</v>
      </c>
      <c r="AH9" s="14">
        <f t="shared" si="22"/>
        <v>1711423.4752738187</v>
      </c>
      <c r="AL9" s="12"/>
    </row>
    <row r="10" spans="1:252" x14ac:dyDescent="0.25">
      <c r="B10" s="12">
        <f t="shared" si="0"/>
        <v>2026</v>
      </c>
      <c r="C10" s="17">
        <f t="shared" ref="C10:C18" si="26">+SUM(C9*0.12)+C9</f>
        <v>43904</v>
      </c>
      <c r="D10" s="17">
        <f t="shared" si="2"/>
        <v>1995.6363636363637</v>
      </c>
      <c r="E10" s="14">
        <f t="shared" si="3"/>
        <v>1036932.6545454545</v>
      </c>
      <c r="F10" s="14">
        <f t="shared" si="4"/>
        <v>671612.54054054047</v>
      </c>
      <c r="G10" s="14">
        <f t="shared" si="23"/>
        <v>1140087.1930015136</v>
      </c>
      <c r="H10" s="14">
        <f>SUM(((D10*(33.4+60))/(6))*((10180/453)/(2203))*54)/(1+0.03)^7</f>
        <v>13913.785391325926</v>
      </c>
      <c r="I10" s="14">
        <f t="shared" si="24"/>
        <v>2733.4994798973798</v>
      </c>
      <c r="J10" s="14">
        <f t="shared" si="5"/>
        <v>53.006359419575354</v>
      </c>
      <c r="K10" s="14">
        <f t="shared" si="6"/>
        <v>1666.0955904382658</v>
      </c>
      <c r="L10" s="14">
        <f>SUM(E10+F10+G10+I10+J10+K10)</f>
        <v>2853084.9895172636</v>
      </c>
      <c r="M10" s="17">
        <f t="shared" si="25"/>
        <v>11576.25</v>
      </c>
      <c r="N10" s="17">
        <f t="shared" si="7"/>
        <v>526.19318181818187</v>
      </c>
      <c r="O10" s="17">
        <f t="shared" si="8"/>
        <v>26309.659090909092</v>
      </c>
      <c r="P10" s="14">
        <f t="shared" si="9"/>
        <v>40674.732954545456</v>
      </c>
      <c r="Q10" s="14">
        <f t="shared" si="10"/>
        <v>385.83882932337633</v>
      </c>
      <c r="R10" s="14">
        <f t="shared" si="11"/>
        <v>7.4819519138561814</v>
      </c>
      <c r="S10" s="14">
        <f t="shared" si="12"/>
        <v>235.17267037478038</v>
      </c>
      <c r="T10" s="14">
        <f t="shared" si="13"/>
        <v>2415.4208398432111</v>
      </c>
      <c r="U10" s="14">
        <f t="shared" si="14"/>
        <v>628.4934516120129</v>
      </c>
      <c r="V10" s="14">
        <f>SUM(T10/(1+0.03)^7)</f>
        <v>1963.9581811983494</v>
      </c>
      <c r="W10" s="14">
        <f t="shared" si="15"/>
        <v>479.47464503802763</v>
      </c>
      <c r="X10" s="14">
        <f t="shared" si="16"/>
        <v>1034.8220482826569</v>
      </c>
      <c r="Y10" s="14">
        <f t="shared" si="17"/>
        <v>365.18395394881981</v>
      </c>
      <c r="Z10" s="14">
        <f t="shared" si="18"/>
        <v>129.87750316240121</v>
      </c>
      <c r="AA10" s="14">
        <f t="shared" si="19"/>
        <v>1529.8835053938778</v>
      </c>
      <c r="AB10" s="14">
        <f>SUM(AA10)/(1+0.07)^4</f>
        <v>1167.1408012554737</v>
      </c>
      <c r="AC10" s="14">
        <f t="shared" si="20"/>
        <v>44285.306582037309</v>
      </c>
      <c r="AE10" s="14">
        <f t="shared" si="1"/>
        <v>0</v>
      </c>
      <c r="AF10" s="14">
        <f>L10/(1+0.07)^7</f>
        <v>1776757.9407966773</v>
      </c>
      <c r="AG10" s="14">
        <f t="shared" si="21"/>
        <v>1790671.7261880031</v>
      </c>
      <c r="AH10" s="14">
        <f t="shared" si="22"/>
        <v>1791838.8669892584</v>
      </c>
      <c r="AL10" s="12"/>
    </row>
    <row r="11" spans="1:252" x14ac:dyDescent="0.25">
      <c r="B11" s="12">
        <f t="shared" si="0"/>
        <v>2027</v>
      </c>
      <c r="C11" s="17">
        <f t="shared" si="26"/>
        <v>49172.479999999996</v>
      </c>
      <c r="D11" s="17">
        <f t="shared" si="2"/>
        <v>2235.1127272727267</v>
      </c>
      <c r="E11" s="14">
        <f t="shared" si="3"/>
        <v>1161364.5730909086</v>
      </c>
      <c r="F11" s="14">
        <f t="shared" si="4"/>
        <v>752206.04540540534</v>
      </c>
      <c r="G11" s="14">
        <f t="shared" si="23"/>
        <v>1276897.6561616953</v>
      </c>
      <c r="H11" s="14">
        <f>SUM(((D11*(33.4+60))/(6))*((10180/453)/(2203))*54)/(1+0.03)^8</f>
        <v>15129.553046878676</v>
      </c>
      <c r="I11" s="14">
        <f t="shared" si="24"/>
        <v>3061.5194174850649</v>
      </c>
      <c r="J11" s="14">
        <f t="shared" si="5"/>
        <v>59.367122549924389</v>
      </c>
      <c r="K11" s="14">
        <f t="shared" si="6"/>
        <v>1866.0270612908578</v>
      </c>
      <c r="L11" s="14">
        <f t="shared" ref="L11:L36" si="27">SUM(E11+F11+G11+I11+J11+K11)</f>
        <v>3195455.1882593357</v>
      </c>
      <c r="M11" s="17">
        <f t="shared" si="25"/>
        <v>12155.0625</v>
      </c>
      <c r="N11" s="17">
        <f t="shared" si="7"/>
        <v>552.50284090909088</v>
      </c>
      <c r="O11" s="17">
        <f t="shared" si="8"/>
        <v>27625.142045454544</v>
      </c>
      <c r="P11" s="14">
        <f t="shared" si="9"/>
        <v>42708.469602272729</v>
      </c>
      <c r="Q11" s="14">
        <f t="shared" si="10"/>
        <v>405.13077078954501</v>
      </c>
      <c r="R11" s="14">
        <f t="shared" si="11"/>
        <v>7.8560495095489884</v>
      </c>
      <c r="S11" s="14">
        <f t="shared" si="12"/>
        <v>246.93130389351938</v>
      </c>
      <c r="T11" s="14">
        <f t="shared" si="13"/>
        <v>2536.1918818353715</v>
      </c>
      <c r="U11" s="14">
        <f t="shared" si="14"/>
        <v>659.91812419261339</v>
      </c>
      <c r="V11" s="14">
        <f>SUM(T11/(1+0.03)^8)</f>
        <v>2002.0932915128806</v>
      </c>
      <c r="W11" s="14">
        <f t="shared" si="15"/>
        <v>503.44837728992889</v>
      </c>
      <c r="X11" s="14">
        <f t="shared" si="16"/>
        <v>1086.5631506967895</v>
      </c>
      <c r="Y11" s="14">
        <f t="shared" si="17"/>
        <v>383.44315164626079</v>
      </c>
      <c r="Z11" s="14">
        <f t="shared" si="18"/>
        <v>136.37137832052125</v>
      </c>
      <c r="AA11" s="14">
        <f t="shared" si="19"/>
        <v>1606.3776806635715</v>
      </c>
      <c r="AB11" s="14">
        <f>SUM(AA11)/(1+0.07)^5</f>
        <v>1145.3250853441562</v>
      </c>
      <c r="AC11" s="14">
        <f t="shared" si="20"/>
        <v>46359.336356419692</v>
      </c>
      <c r="AE11" s="14">
        <f t="shared" si="1"/>
        <v>0</v>
      </c>
      <c r="AF11" s="14">
        <f>L11/(1+0.07)^8</f>
        <v>1859784.0127965224</v>
      </c>
      <c r="AG11" s="14">
        <f t="shared" si="21"/>
        <v>1874913.565843401</v>
      </c>
      <c r="AH11" s="14">
        <f t="shared" si="22"/>
        <v>1876058.8909287453</v>
      </c>
      <c r="AL11" s="12"/>
    </row>
    <row r="12" spans="1:252" x14ac:dyDescent="0.25">
      <c r="B12" s="12">
        <f t="shared" si="0"/>
        <v>2028</v>
      </c>
      <c r="C12" s="17">
        <f t="shared" si="26"/>
        <v>55073.177599999995</v>
      </c>
      <c r="D12" s="17">
        <f t="shared" si="2"/>
        <v>2503.326254545454</v>
      </c>
      <c r="E12" s="14">
        <f t="shared" si="3"/>
        <v>1300728.321861818</v>
      </c>
      <c r="F12" s="14">
        <f t="shared" si="4"/>
        <v>842470.77085405402</v>
      </c>
      <c r="G12" s="14">
        <f t="shared" si="23"/>
        <v>1430125.3749010984</v>
      </c>
      <c r="H12" s="14">
        <f>SUM(((D12*(33.4+60))/(6))*((10180/453)/(2203))*54)/(1+0.03)^9</f>
        <v>16451.552827673902</v>
      </c>
      <c r="I12" s="14">
        <f t="shared" si="24"/>
        <v>3428.9017475832725</v>
      </c>
      <c r="J12" s="14">
        <f t="shared" si="5"/>
        <v>66.491177255915318</v>
      </c>
      <c r="K12" s="14">
        <f t="shared" si="6"/>
        <v>2089.9503086457607</v>
      </c>
      <c r="L12" s="14">
        <f t="shared" si="27"/>
        <v>3578909.8108504554</v>
      </c>
      <c r="M12" s="17">
        <f t="shared" si="25"/>
        <v>12762.815624999999</v>
      </c>
      <c r="N12" s="17">
        <f t="shared" si="7"/>
        <v>580.12798295454547</v>
      </c>
      <c r="O12" s="17">
        <f t="shared" si="8"/>
        <v>29006.399147727272</v>
      </c>
      <c r="P12" s="14">
        <f t="shared" si="9"/>
        <v>44843.893082386363</v>
      </c>
      <c r="Q12" s="14">
        <f t="shared" si="10"/>
        <v>425.38730932902234</v>
      </c>
      <c r="R12" s="14">
        <f t="shared" si="11"/>
        <v>8.2488519850264392</v>
      </c>
      <c r="S12" s="14">
        <f t="shared" si="12"/>
        <v>259.27786908819536</v>
      </c>
      <c r="T12" s="14">
        <f t="shared" si="13"/>
        <v>2663.0014759271394</v>
      </c>
      <c r="U12" s="14">
        <f t="shared" si="14"/>
        <v>692.91403040224418</v>
      </c>
      <c r="V12" s="14">
        <f>SUM(T12/(1+0.03)^9)</f>
        <v>2040.9688894063338</v>
      </c>
      <c r="W12" s="14">
        <f t="shared" si="15"/>
        <v>528.62079615442542</v>
      </c>
      <c r="X12" s="14">
        <f t="shared" si="16"/>
        <v>1140.8913082316292</v>
      </c>
      <c r="Y12" s="14">
        <f t="shared" si="17"/>
        <v>402.61530922857384</v>
      </c>
      <c r="Z12" s="14">
        <f t="shared" si="18"/>
        <v>143.18994723654731</v>
      </c>
      <c r="AA12" s="14">
        <f t="shared" si="19"/>
        <v>1686.6965646967503</v>
      </c>
      <c r="AB12" s="14">
        <f>SUM(AA12)/(1+0.07)^6</f>
        <v>1123.9171398237049</v>
      </c>
      <c r="AC12" s="14">
        <f t="shared" si="20"/>
        <v>48537.399907770829</v>
      </c>
      <c r="AE12" s="14">
        <f t="shared" si="1"/>
        <v>0</v>
      </c>
      <c r="AF12" s="14">
        <f>L12/(1+0.07)^9</f>
        <v>1946689.8077870135</v>
      </c>
      <c r="AG12" s="14">
        <f t="shared" si="21"/>
        <v>1963141.3606146874</v>
      </c>
      <c r="AH12" s="14">
        <f t="shared" si="22"/>
        <v>1964265.2777545112</v>
      </c>
      <c r="AL12" s="12"/>
    </row>
    <row r="13" spans="1:252" x14ac:dyDescent="0.25">
      <c r="B13" s="12">
        <f t="shared" si="0"/>
        <v>2029</v>
      </c>
      <c r="C13" s="17">
        <f t="shared" si="26"/>
        <v>61681.958911999995</v>
      </c>
      <c r="D13" s="17">
        <f t="shared" si="2"/>
        <v>2803.7254050909087</v>
      </c>
      <c r="E13" s="14">
        <f t="shared" si="3"/>
        <v>1456815.720485236</v>
      </c>
      <c r="F13" s="14">
        <f t="shared" si="4"/>
        <v>943567.26335654047</v>
      </c>
      <c r="G13" s="14">
        <f t="shared" si="23"/>
        <v>1601740.4198892305</v>
      </c>
      <c r="H13" s="14">
        <f>SUM(((D13*(33.4+60))/(6))*((10180/453)/(2203))*54)/(1+0.03)^10</f>
        <v>17889.067152422107</v>
      </c>
      <c r="I13" s="14">
        <f t="shared" si="24"/>
        <v>3840.3699572932651</v>
      </c>
      <c r="J13" s="14">
        <f t="shared" si="5"/>
        <v>74.470118526625157</v>
      </c>
      <c r="K13" s="14">
        <f t="shared" si="6"/>
        <v>2340.744345683252</v>
      </c>
      <c r="L13" s="14">
        <f t="shared" si="27"/>
        <v>4008378.9881525105</v>
      </c>
      <c r="M13" s="17">
        <f t="shared" si="25"/>
        <v>13400.956406249999</v>
      </c>
      <c r="N13" s="17">
        <f t="shared" si="7"/>
        <v>609.13438210227275</v>
      </c>
      <c r="O13" s="17">
        <f t="shared" si="8"/>
        <v>30456.719105113636</v>
      </c>
      <c r="P13" s="14">
        <f t="shared" si="9"/>
        <v>47086.08773650568</v>
      </c>
      <c r="Q13" s="14">
        <f t="shared" si="10"/>
        <v>446.65667479547346</v>
      </c>
      <c r="R13" s="14">
        <f t="shared" si="11"/>
        <v>8.6612945842777602</v>
      </c>
      <c r="S13" s="14">
        <f t="shared" si="12"/>
        <v>272.2417625426051</v>
      </c>
      <c r="T13" s="14">
        <f t="shared" si="13"/>
        <v>2796.1515497234973</v>
      </c>
      <c r="U13" s="14">
        <f t="shared" si="14"/>
        <v>727.55973192235638</v>
      </c>
      <c r="V13" s="14">
        <f>SUM(T13/(1+0.03)^10)</f>
        <v>2080.5993532783023</v>
      </c>
      <c r="W13" s="14">
        <f t="shared" si="15"/>
        <v>555.0518359621467</v>
      </c>
      <c r="X13" s="14">
        <f t="shared" si="16"/>
        <v>1197.9358736432105</v>
      </c>
      <c r="Y13" s="14">
        <f t="shared" si="17"/>
        <v>422.7460746900025</v>
      </c>
      <c r="Z13" s="14">
        <f t="shared" si="18"/>
        <v>150.3494445983747</v>
      </c>
      <c r="AA13" s="14">
        <f t="shared" si="19"/>
        <v>1771.0313929315876</v>
      </c>
      <c r="AB13" s="14">
        <f>SUM(AA13)/(1+0.07)^7</f>
        <v>1102.9093428176541</v>
      </c>
      <c r="AC13" s="14">
        <f t="shared" si="20"/>
        <v>50824.648268563789</v>
      </c>
      <c r="AD13" s="14">
        <v>423250</v>
      </c>
      <c r="AE13" s="14">
        <f>AD13/(1+0.07)^10</f>
        <v>215158.83789601931</v>
      </c>
      <c r="AF13" s="14">
        <f>L13/(1+0.07)^10</f>
        <v>2037656.6212350051</v>
      </c>
      <c r="AG13" s="14">
        <f t="shared" si="21"/>
        <v>2055545.6883874272</v>
      </c>
      <c r="AH13" s="14">
        <f t="shared" si="22"/>
        <v>2056648.597730245</v>
      </c>
      <c r="AL13" s="12"/>
    </row>
    <row r="14" spans="1:252" x14ac:dyDescent="0.25">
      <c r="B14" s="12">
        <f t="shared" si="0"/>
        <v>2030</v>
      </c>
      <c r="C14" s="17">
        <f t="shared" si="26"/>
        <v>69083.793981439987</v>
      </c>
      <c r="D14" s="17">
        <f t="shared" si="2"/>
        <v>3140.1724537018176</v>
      </c>
      <c r="E14" s="14">
        <f t="shared" si="3"/>
        <v>1631633.6069434644</v>
      </c>
      <c r="F14" s="14">
        <f t="shared" si="4"/>
        <v>1056795.3349593251</v>
      </c>
      <c r="G14" s="14">
        <f t="shared" si="23"/>
        <v>1793949.2702759381</v>
      </c>
      <c r="H14" s="14">
        <f>SUM(((D14*(33.4+60))/(6))*((10180/453)/(2203))*54)/(1+0.03)^11</f>
        <v>19452.189524963844</v>
      </c>
      <c r="I14" s="14">
        <f t="shared" si="24"/>
        <v>4301.2143521684575</v>
      </c>
      <c r="J14" s="14">
        <f t="shared" si="5"/>
        <v>83.406532749820158</v>
      </c>
      <c r="K14" s="14">
        <f t="shared" si="6"/>
        <v>2621.6336671652425</v>
      </c>
      <c r="L14" s="14">
        <f t="shared" si="27"/>
        <v>4489384.4667308107</v>
      </c>
      <c r="M14" s="17">
        <f t="shared" si="25"/>
        <v>14071.0042265625</v>
      </c>
      <c r="N14" s="17">
        <f t="shared" si="7"/>
        <v>639.59110120738637</v>
      </c>
      <c r="O14" s="17">
        <f t="shared" si="8"/>
        <v>31979.555060369319</v>
      </c>
      <c r="P14" s="14">
        <f t="shared" si="9"/>
        <v>49440.392123330967</v>
      </c>
      <c r="Q14" s="14">
        <f t="shared" si="10"/>
        <v>468.98950853524718</v>
      </c>
      <c r="R14" s="14">
        <f t="shared" si="11"/>
        <v>9.0943593134916494</v>
      </c>
      <c r="S14" s="14">
        <f t="shared" si="12"/>
        <v>285.85385066973538</v>
      </c>
      <c r="T14" s="14">
        <f t="shared" si="13"/>
        <v>2935.9591272096718</v>
      </c>
      <c r="U14" s="14">
        <f t="shared" si="14"/>
        <v>763.93771851847418</v>
      </c>
      <c r="V14" s="14">
        <f>SUM(T14/(1+0.03)^11)</f>
        <v>2120.9993407205989</v>
      </c>
      <c r="W14" s="14">
        <f t="shared" si="15"/>
        <v>582.80442776025404</v>
      </c>
      <c r="X14" s="14">
        <f t="shared" si="16"/>
        <v>1257.8326673253712</v>
      </c>
      <c r="Y14" s="14">
        <f t="shared" si="17"/>
        <v>443.88337842450267</v>
      </c>
      <c r="Z14" s="14">
        <f t="shared" si="18"/>
        <v>157.86691682829343</v>
      </c>
      <c r="AA14" s="14">
        <f t="shared" si="19"/>
        <v>1859.5829625781673</v>
      </c>
      <c r="AB14" s="14">
        <f>SUM(AA14)/(1+0.07)^8</f>
        <v>1082.2942149145206</v>
      </c>
      <c r="AC14" s="14">
        <f t="shared" si="20"/>
        <v>53226.490106726342</v>
      </c>
      <c r="AE14" s="14">
        <f t="shared" si="1"/>
        <v>0</v>
      </c>
      <c r="AF14" s="14">
        <f>L14/(1+0.07)^11</f>
        <v>2132874.2203581352</v>
      </c>
      <c r="AG14" s="14">
        <f t="shared" si="21"/>
        <v>2152326.4098830991</v>
      </c>
      <c r="AH14" s="14">
        <f t="shared" si="22"/>
        <v>2153408.7040980137</v>
      </c>
      <c r="AL14" s="12"/>
    </row>
    <row r="15" spans="1:252" x14ac:dyDescent="0.25">
      <c r="B15" s="12">
        <f t="shared" si="0"/>
        <v>2031</v>
      </c>
      <c r="C15" s="17">
        <f t="shared" si="26"/>
        <v>77373.849259212788</v>
      </c>
      <c r="D15" s="17">
        <f t="shared" si="2"/>
        <v>3516.9931481460362</v>
      </c>
      <c r="E15" s="14">
        <f t="shared" si="3"/>
        <v>1827429.6397766804</v>
      </c>
      <c r="F15" s="14">
        <f t="shared" si="4"/>
        <v>1183610.7751544444</v>
      </c>
      <c r="G15" s="14">
        <f t="shared" si="23"/>
        <v>2009223.1827090504</v>
      </c>
      <c r="H15" s="14">
        <f>SUM(((D15*(33.4+60))/(6))*((10180/453)/(2203))*54)/(1+0.03)^12</f>
        <v>21151.895405785934</v>
      </c>
      <c r="I15" s="14">
        <f t="shared" si="24"/>
        <v>4817.3600744286723</v>
      </c>
      <c r="J15" s="14">
        <f t="shared" si="5"/>
        <v>93.415316679798607</v>
      </c>
      <c r="K15" s="14">
        <f t="shared" si="6"/>
        <v>2936.2297072250713</v>
      </c>
      <c r="L15" s="14">
        <f t="shared" si="27"/>
        <v>5028110.602738509</v>
      </c>
      <c r="M15" s="17">
        <f t="shared" si="25"/>
        <v>14774.554437890625</v>
      </c>
      <c r="N15" s="17">
        <f t="shared" si="7"/>
        <v>671.57065626775568</v>
      </c>
      <c r="O15" s="17">
        <f t="shared" si="8"/>
        <v>33578.532813387785</v>
      </c>
      <c r="P15" s="14">
        <f t="shared" si="9"/>
        <v>51912.411729497515</v>
      </c>
      <c r="Q15" s="14">
        <f t="shared" si="10"/>
        <v>492.43898396200944</v>
      </c>
      <c r="R15" s="14">
        <f t="shared" si="11"/>
        <v>9.5490772791662319</v>
      </c>
      <c r="S15" s="14">
        <f t="shared" si="12"/>
        <v>300.14654320322211</v>
      </c>
      <c r="T15" s="14">
        <f t="shared" si="13"/>
        <v>3082.7570835701554</v>
      </c>
      <c r="U15" s="14">
        <f t="shared" si="14"/>
        <v>802.13460444439784</v>
      </c>
      <c r="V15" s="14">
        <f>SUM(T15/(1+0.03)^12)</f>
        <v>2162.183793938475</v>
      </c>
      <c r="W15" s="14">
        <f t="shared" si="15"/>
        <v>611.94464914826665</v>
      </c>
      <c r="X15" s="14">
        <f t="shared" si="16"/>
        <v>1320.7243006916397</v>
      </c>
      <c r="Y15" s="14">
        <f t="shared" si="17"/>
        <v>466.07754734572779</v>
      </c>
      <c r="Z15" s="14">
        <f t="shared" si="18"/>
        <v>165.76026266970808</v>
      </c>
      <c r="AA15" s="14">
        <f t="shared" si="19"/>
        <v>1952.5621107070756</v>
      </c>
      <c r="AB15" s="14">
        <f>SUM(AA15)/(1+0.07)^9</f>
        <v>1062.0644165049032</v>
      </c>
      <c r="AC15" s="14">
        <f t="shared" si="20"/>
        <v>55748.604589089155</v>
      </c>
      <c r="AE15" s="14">
        <f t="shared" si="1"/>
        <v>0</v>
      </c>
      <c r="AF15" s="14">
        <f>L15/(1+0.07)^12</f>
        <v>2232541.2400010396</v>
      </c>
      <c r="AG15" s="14">
        <f t="shared" si="21"/>
        <v>2253693.1354068257</v>
      </c>
      <c r="AH15" s="14">
        <f t="shared" si="22"/>
        <v>2254755.1998233306</v>
      </c>
      <c r="AL15" s="12"/>
    </row>
    <row r="16" spans="1:252" x14ac:dyDescent="0.25">
      <c r="B16" s="12">
        <f t="shared" si="0"/>
        <v>2032</v>
      </c>
      <c r="C16" s="17">
        <f t="shared" si="26"/>
        <v>86658.711170318318</v>
      </c>
      <c r="D16" s="17">
        <f t="shared" si="2"/>
        <v>3939.0323259235602</v>
      </c>
      <c r="E16" s="14">
        <f t="shared" si="3"/>
        <v>2046721.1965498817</v>
      </c>
      <c r="F16" s="14">
        <f t="shared" si="4"/>
        <v>1325644.0681729773</v>
      </c>
      <c r="G16" s="14">
        <f t="shared" si="23"/>
        <v>2250329.9646341363</v>
      </c>
      <c r="H16" s="14">
        <f>SUM(((D16*(33.4+60))/(6))*((10180/453)/(2203))*54)/(1+0.03)^13</f>
        <v>23000.119276194411</v>
      </c>
      <c r="I16" s="14">
        <f t="shared" si="24"/>
        <v>5395.4432833601122</v>
      </c>
      <c r="J16" s="14">
        <f t="shared" si="5"/>
        <v>104.62515468137443</v>
      </c>
      <c r="K16" s="14">
        <f t="shared" si="6"/>
        <v>3288.5772720920804</v>
      </c>
      <c r="L16" s="14">
        <f t="shared" si="27"/>
        <v>5631483.8750671288</v>
      </c>
      <c r="M16" s="17">
        <f t="shared" si="25"/>
        <v>15513.282159785156</v>
      </c>
      <c r="N16" s="17">
        <f t="shared" si="7"/>
        <v>705.1491890811435</v>
      </c>
      <c r="O16" s="17">
        <f t="shared" si="8"/>
        <v>35257.459454057178</v>
      </c>
      <c r="P16" s="14">
        <f t="shared" si="9"/>
        <v>54508.032315972399</v>
      </c>
      <c r="Q16" s="14">
        <f t="shared" si="10"/>
        <v>517.06093316011004</v>
      </c>
      <c r="R16" s="14">
        <f t="shared" si="11"/>
        <v>10.026531143124545</v>
      </c>
      <c r="S16" s="14">
        <f t="shared" si="12"/>
        <v>315.15387036338331</v>
      </c>
      <c r="T16" s="14">
        <f t="shared" si="13"/>
        <v>3236.8949377486638</v>
      </c>
      <c r="U16" s="14">
        <f t="shared" si="14"/>
        <v>842.24133466661783</v>
      </c>
      <c r="V16" s="14">
        <f>SUM(T16/(1+0.03)^13)</f>
        <v>2204.1679452770868</v>
      </c>
      <c r="W16" s="14">
        <f t="shared" si="15"/>
        <v>642.54188160568003</v>
      </c>
      <c r="X16" s="14">
        <f t="shared" si="16"/>
        <v>1386.7605157262219</v>
      </c>
      <c r="Y16" s="14">
        <f t="shared" si="17"/>
        <v>489.38142471301427</v>
      </c>
      <c r="Z16" s="14">
        <f t="shared" si="18"/>
        <v>174.04827580319352</v>
      </c>
      <c r="AA16" s="14">
        <f t="shared" si="19"/>
        <v>2050.1902162424294</v>
      </c>
      <c r="AB16" s="14">
        <f>SUM(AA16)/(1+0.07)^10</f>
        <v>1042.212745168363</v>
      </c>
      <c r="AC16" s="14">
        <f t="shared" si="20"/>
        <v>58396.954888023523</v>
      </c>
      <c r="AE16" s="14">
        <f t="shared" si="1"/>
        <v>0</v>
      </c>
      <c r="AF16" s="14">
        <f>L16/(1+0.07)^13</f>
        <v>2336865.5970104337</v>
      </c>
      <c r="AG16" s="14">
        <f t="shared" si="21"/>
        <v>2359865.716286628</v>
      </c>
      <c r="AH16" s="14">
        <f t="shared" si="22"/>
        <v>2360907.9290317963</v>
      </c>
      <c r="AL16" s="12"/>
    </row>
    <row r="17" spans="2:38" x14ac:dyDescent="0.25">
      <c r="B17" s="12">
        <f t="shared" si="0"/>
        <v>2033</v>
      </c>
      <c r="C17" s="17">
        <f t="shared" si="26"/>
        <v>97057.756510756517</v>
      </c>
      <c r="D17" s="17">
        <f t="shared" si="2"/>
        <v>4411.7162050343877</v>
      </c>
      <c r="E17" s="14">
        <f t="shared" si="3"/>
        <v>2292327.7401358676</v>
      </c>
      <c r="F17" s="14">
        <f t="shared" si="4"/>
        <v>1484721.3563537351</v>
      </c>
      <c r="G17" s="14">
        <f t="shared" si="23"/>
        <v>2520369.5603902331</v>
      </c>
      <c r="H17" s="14">
        <f>SUM(((D17*(33.4+60))/(6))*((10180/453)/(2203))*54)/(1+0.03)^14</f>
        <v>25009.838436250233</v>
      </c>
      <c r="I17" s="14">
        <f t="shared" si="24"/>
        <v>6042.896477363327</v>
      </c>
      <c r="J17" s="14">
        <f t="shared" si="5"/>
        <v>117.18017324313935</v>
      </c>
      <c r="K17" s="14">
        <f t="shared" si="6"/>
        <v>3683.2065447431301</v>
      </c>
      <c r="L17" s="14">
        <f t="shared" si="27"/>
        <v>6307261.9400751851</v>
      </c>
      <c r="M17" s="17">
        <f t="shared" si="25"/>
        <v>16288.946267774414</v>
      </c>
      <c r="N17" s="17">
        <f t="shared" si="7"/>
        <v>740.4066485352007</v>
      </c>
      <c r="O17" s="17">
        <f t="shared" si="8"/>
        <v>37020.332426760033</v>
      </c>
      <c r="P17" s="14">
        <f t="shared" si="9"/>
        <v>57233.433931771011</v>
      </c>
      <c r="Q17" s="14">
        <f t="shared" si="10"/>
        <v>542.91397981811554</v>
      </c>
      <c r="R17" s="14">
        <f t="shared" si="11"/>
        <v>10.527857700280771</v>
      </c>
      <c r="S17" s="14">
        <f t="shared" si="12"/>
        <v>330.91156388155241</v>
      </c>
      <c r="T17" s="14">
        <f t="shared" si="13"/>
        <v>3398.7396846360962</v>
      </c>
      <c r="U17" s="14">
        <f t="shared" si="14"/>
        <v>884.35340139994867</v>
      </c>
      <c r="V17" s="14">
        <f>SUM(T17/(1+0.03)^14)</f>
        <v>2246.967322855282</v>
      </c>
      <c r="W17" s="14">
        <f t="shared" si="15"/>
        <v>674.66897568596403</v>
      </c>
      <c r="X17" s="14">
        <f t="shared" si="16"/>
        <v>1456.0985415125326</v>
      </c>
      <c r="Y17" s="14">
        <f t="shared" si="17"/>
        <v>513.85049594866496</v>
      </c>
      <c r="Z17" s="14">
        <f t="shared" si="18"/>
        <v>182.75068959335317</v>
      </c>
      <c r="AA17" s="14">
        <f t="shared" si="19"/>
        <v>2152.6997270545507</v>
      </c>
      <c r="AB17" s="14">
        <f>SUM(AA17)/(1+0.07)^11</f>
        <v>1022.732133109141</v>
      </c>
      <c r="AC17" s="14">
        <f t="shared" si="20"/>
        <v>61177.802363421404</v>
      </c>
      <c r="AE17" s="14">
        <f t="shared" si="1"/>
        <v>0</v>
      </c>
      <c r="AF17" s="14">
        <f>L17/(1+0.07)^14</f>
        <v>2446064.9239735384</v>
      </c>
      <c r="AG17" s="14">
        <f t="shared" si="21"/>
        <v>2471074.7624097886</v>
      </c>
      <c r="AH17" s="14">
        <f t="shared" si="22"/>
        <v>2472097.4945428977</v>
      </c>
      <c r="AL17" s="12"/>
    </row>
    <row r="18" spans="2:38" x14ac:dyDescent="0.25">
      <c r="B18" s="12">
        <f t="shared" si="0"/>
        <v>2034</v>
      </c>
      <c r="C18" s="17">
        <f t="shared" si="26"/>
        <v>108704.6872920473</v>
      </c>
      <c r="D18" s="17">
        <f t="shared" si="2"/>
        <v>4941.1221496385133</v>
      </c>
      <c r="E18" s="14">
        <f t="shared" si="3"/>
        <v>2567407.0689521711</v>
      </c>
      <c r="F18" s="14">
        <f t="shared" si="4"/>
        <v>1662887.919116183</v>
      </c>
      <c r="G18" s="14">
        <f t="shared" si="23"/>
        <v>2822813.9076370606</v>
      </c>
      <c r="H18" s="14">
        <f>SUM(((D18*(33.4+60))/(6))*((10180/453)/(2203))*54)/(1+0.03)^15</f>
        <v>27195.164124854615</v>
      </c>
      <c r="I18" s="14">
        <f t="shared" si="24"/>
        <v>6768.0440546469245</v>
      </c>
      <c r="J18" s="14">
        <f t="shared" si="5"/>
        <v>131.24179403231608</v>
      </c>
      <c r="K18" s="14">
        <f t="shared" si="6"/>
        <v>4125.1913301123059</v>
      </c>
      <c r="L18" s="14">
        <f t="shared" si="27"/>
        <v>7064133.3728842065</v>
      </c>
      <c r="M18" s="17">
        <f t="shared" ref="M18:M27" si="28">SUM(M17*0.0385)+M17</f>
        <v>16916.070699083728</v>
      </c>
      <c r="N18" s="17">
        <f t="shared" si="7"/>
        <v>768.91230450380579</v>
      </c>
      <c r="O18" s="17">
        <f t="shared" si="8"/>
        <v>38445.615225190289</v>
      </c>
      <c r="P18" s="14">
        <f t="shared" si="9"/>
        <v>59436.921138144186</v>
      </c>
      <c r="Q18" s="14">
        <f t="shared" si="10"/>
        <v>563.81616804111275</v>
      </c>
      <c r="R18" s="14">
        <f t="shared" si="11"/>
        <v>10.933180221741578</v>
      </c>
      <c r="S18" s="14">
        <f t="shared" si="12"/>
        <v>343.65165909099215</v>
      </c>
      <c r="T18" s="14">
        <f t="shared" si="13"/>
        <v>3529.5911624945861</v>
      </c>
      <c r="U18" s="14">
        <f t="shared" si="14"/>
        <v>918.40100735384658</v>
      </c>
      <c r="V18" s="14">
        <f>SUM(T18/(1+0.03)^15)</f>
        <v>2265.5102570730196</v>
      </c>
      <c r="W18" s="14">
        <f t="shared" si="15"/>
        <v>700.64373124987355</v>
      </c>
      <c r="X18" s="14">
        <f t="shared" si="16"/>
        <v>1512.158335360765</v>
      </c>
      <c r="Y18" s="14">
        <f t="shared" si="17"/>
        <v>533.63374004268837</v>
      </c>
      <c r="Z18" s="14">
        <f t="shared" si="18"/>
        <v>189.78659114269726</v>
      </c>
      <c r="AA18" s="14">
        <f t="shared" si="19"/>
        <v>2235.578666546151</v>
      </c>
      <c r="AB18" s="14">
        <f>SUM(AA18)/(1+0.07)^12</f>
        <v>992.62366376994692</v>
      </c>
      <c r="AC18" s="14">
        <f t="shared" si="20"/>
        <v>63395.698790237031</v>
      </c>
      <c r="AE18" s="14">
        <f t="shared" si="1"/>
        <v>0</v>
      </c>
      <c r="AF18" s="14">
        <f>L18/(1+0.07)^15</f>
        <v>2560367.0232246374</v>
      </c>
      <c r="AG18" s="14">
        <f t="shared" si="21"/>
        <v>2587562.1873494922</v>
      </c>
      <c r="AH18" s="14">
        <f t="shared" si="22"/>
        <v>2588554.8110132623</v>
      </c>
      <c r="AL18" s="12"/>
    </row>
    <row r="19" spans="2:38" x14ac:dyDescent="0.25">
      <c r="B19" s="12">
        <f t="shared" si="0"/>
        <v>2035</v>
      </c>
      <c r="C19" s="17">
        <f>+SUM(C18*0.05)+C18</f>
        <v>114139.92165664966</v>
      </c>
      <c r="D19" s="17">
        <f t="shared" si="2"/>
        <v>5188.1782571204394</v>
      </c>
      <c r="E19" s="14">
        <f t="shared" si="3"/>
        <v>2695777.4223997802</v>
      </c>
      <c r="F19" s="14">
        <f t="shared" si="4"/>
        <v>1746032.3150719921</v>
      </c>
      <c r="G19" s="14">
        <f t="shared" si="23"/>
        <v>2963954.6030189134</v>
      </c>
      <c r="H19" s="14">
        <f>SUM(((D19*(33.4+60))/(6))*((10180/453)/(2203))*54)/(1+0.03)^16</f>
        <v>27723.225564172189</v>
      </c>
      <c r="I19" s="14">
        <f t="shared" si="24"/>
        <v>7106.4462573792716</v>
      </c>
      <c r="J19" s="14">
        <f t="shared" si="5"/>
        <v>137.80388373393188</v>
      </c>
      <c r="K19" s="14">
        <f t="shared" si="6"/>
        <v>4331.450896617921</v>
      </c>
      <c r="L19" s="14">
        <f t="shared" si="27"/>
        <v>7417340.0415284168</v>
      </c>
      <c r="M19" s="17">
        <f t="shared" si="28"/>
        <v>17567.339420998451</v>
      </c>
      <c r="N19" s="17">
        <f t="shared" si="7"/>
        <v>798.51542822720228</v>
      </c>
      <c r="O19" s="17">
        <f t="shared" si="8"/>
        <v>39925.771411360111</v>
      </c>
      <c r="P19" s="14">
        <f t="shared" si="9"/>
        <v>61725.242601962731</v>
      </c>
      <c r="Q19" s="14">
        <f t="shared" si="10"/>
        <v>585.52309051069562</v>
      </c>
      <c r="R19" s="14">
        <f t="shared" si="11"/>
        <v>11.354107660278627</v>
      </c>
      <c r="S19" s="14">
        <f t="shared" si="12"/>
        <v>356.8822479659953</v>
      </c>
      <c r="T19" s="14">
        <f t="shared" si="13"/>
        <v>3665.4804222506273</v>
      </c>
      <c r="U19" s="14">
        <f t="shared" si="14"/>
        <v>953.75944613696947</v>
      </c>
      <c r="V19" s="14">
        <f>SUM(T19/(1+0.03)^16)</f>
        <v>2284.2062155051758</v>
      </c>
      <c r="W19" s="14">
        <f t="shared" si="15"/>
        <v>727.61851490299352</v>
      </c>
      <c r="X19" s="14">
        <f t="shared" si="16"/>
        <v>1570.3764312721544</v>
      </c>
      <c r="Y19" s="14">
        <f t="shared" si="17"/>
        <v>554.17863903433192</v>
      </c>
      <c r="Z19" s="14">
        <f t="shared" si="18"/>
        <v>197.09337490169108</v>
      </c>
      <c r="AA19" s="14">
        <f t="shared" si="19"/>
        <v>2321.6484452081777</v>
      </c>
      <c r="AB19" s="14">
        <f>SUM(AA19)/(1+0.07)^13</f>
        <v>963.40156525709324</v>
      </c>
      <c r="AC19" s="14">
        <f t="shared" si="20"/>
        <v>65700.468897627987</v>
      </c>
      <c r="AE19" s="14">
        <f t="shared" si="1"/>
        <v>0</v>
      </c>
      <c r="AF19" s="14">
        <f>L19/(1+0.07)^16</f>
        <v>2512509.6956877289</v>
      </c>
      <c r="AG19" s="14">
        <f t="shared" si="21"/>
        <v>2540232.921251901</v>
      </c>
      <c r="AH19" s="14">
        <f t="shared" si="22"/>
        <v>2541196.322817158</v>
      </c>
      <c r="AL19" s="12"/>
    </row>
    <row r="20" spans="2:38" x14ac:dyDescent="0.25">
      <c r="B20" s="12">
        <f t="shared" si="0"/>
        <v>2036</v>
      </c>
      <c r="C20" s="17">
        <f t="shared" ref="C20:C28" si="29">+SUM(C19*0.05)+C19</f>
        <v>119846.91773948215</v>
      </c>
      <c r="D20" s="17">
        <f t="shared" si="2"/>
        <v>5447.5871699764612</v>
      </c>
      <c r="E20" s="14">
        <f t="shared" si="3"/>
        <v>2830566.2935197689</v>
      </c>
      <c r="F20" s="14">
        <f t="shared" si="4"/>
        <v>1833333.9308255916</v>
      </c>
      <c r="G20" s="14">
        <f t="shared" si="23"/>
        <v>3112152.3331698594</v>
      </c>
      <c r="H20" s="14">
        <f>SUM(((D20*(33.4+60))/(6))*((10180/453)/(2203))*54)/(1+0.03)^17</f>
        <v>28261.540623670677</v>
      </c>
      <c r="I20" s="14">
        <f t="shared" si="24"/>
        <v>7461.768570248234</v>
      </c>
      <c r="J20" s="14">
        <f t="shared" si="5"/>
        <v>144.69407792062847</v>
      </c>
      <c r="K20" s="14">
        <f t="shared" si="6"/>
        <v>4548.0234414488159</v>
      </c>
      <c r="L20" s="14">
        <f t="shared" si="27"/>
        <v>7788207.0436048359</v>
      </c>
      <c r="M20" s="17">
        <f t="shared" si="28"/>
        <v>18243.681988706892</v>
      </c>
      <c r="N20" s="17">
        <f t="shared" si="7"/>
        <v>829.25827221394957</v>
      </c>
      <c r="O20" s="17">
        <f t="shared" si="8"/>
        <v>41462.913610697477</v>
      </c>
      <c r="P20" s="14">
        <f t="shared" si="9"/>
        <v>64101.664442138303</v>
      </c>
      <c r="Q20" s="14">
        <f t="shared" si="10"/>
        <v>608.06572949535746</v>
      </c>
      <c r="R20" s="14">
        <f t="shared" si="11"/>
        <v>11.791240805199354</v>
      </c>
      <c r="S20" s="14">
        <f t="shared" si="12"/>
        <v>370.62221451268613</v>
      </c>
      <c r="T20" s="14">
        <f t="shared" si="13"/>
        <v>3806.6014185072763</v>
      </c>
      <c r="U20" s="14">
        <f t="shared" si="14"/>
        <v>990.47918481324291</v>
      </c>
      <c r="V20" s="14">
        <f>SUM(T20/(1+0.03)^17)</f>
        <v>2303.0564609729367</v>
      </c>
      <c r="W20" s="14">
        <f t="shared" si="15"/>
        <v>755.63182772675884</v>
      </c>
      <c r="X20" s="14">
        <f t="shared" si="16"/>
        <v>1630.8359238761323</v>
      </c>
      <c r="Y20" s="14">
        <f t="shared" si="17"/>
        <v>575.51451663715363</v>
      </c>
      <c r="Z20" s="14">
        <f t="shared" si="18"/>
        <v>204.68146983540618</v>
      </c>
      <c r="AA20" s="14">
        <f t="shared" si="19"/>
        <v>2411.0319103486918</v>
      </c>
      <c r="AB20" s="14">
        <f>SUM(AA20)/(1+0.07)^14</f>
        <v>935.03974347615986</v>
      </c>
      <c r="AC20" s="14">
        <f t="shared" si="20"/>
        <v>68095.392474314154</v>
      </c>
      <c r="AE20" s="14">
        <f t="shared" si="1"/>
        <v>0</v>
      </c>
      <c r="AF20" s="14">
        <f>L20/(1+0.07)^17</f>
        <v>2465546.8976374902</v>
      </c>
      <c r="AG20" s="14">
        <f t="shared" si="21"/>
        <v>2493808.4382611606</v>
      </c>
      <c r="AH20" s="14">
        <f t="shared" si="22"/>
        <v>2494743.4780046367</v>
      </c>
      <c r="AL20" s="12"/>
    </row>
    <row r="21" spans="2:38" x14ac:dyDescent="0.25">
      <c r="B21" s="12">
        <f t="shared" si="0"/>
        <v>2037</v>
      </c>
      <c r="C21" s="17">
        <f t="shared" si="29"/>
        <v>125839.26362645626</v>
      </c>
      <c r="D21" s="17">
        <f t="shared" si="2"/>
        <v>5719.9665284752846</v>
      </c>
      <c r="E21" s="14">
        <f t="shared" si="3"/>
        <v>2972094.6081957575</v>
      </c>
      <c r="F21" s="14">
        <f t="shared" si="4"/>
        <v>1925000.6273668716</v>
      </c>
      <c r="G21" s="14">
        <f t="shared" si="23"/>
        <v>3267759.9498283528</v>
      </c>
      <c r="H21" s="14">
        <f>SUM(((D21*(33.4+60))/(6))*((10180/453)/(2203))*54)/(1+0.03)^18</f>
        <v>28810.308402771079</v>
      </c>
      <c r="I21" s="14">
        <f t="shared" si="24"/>
        <v>7834.856998760647</v>
      </c>
      <c r="J21" s="14">
        <f t="shared" si="5"/>
        <v>151.92878181665989</v>
      </c>
      <c r="K21" s="14">
        <f t="shared" si="6"/>
        <v>4775.424613521257</v>
      </c>
      <c r="L21" s="14">
        <f t="shared" si="27"/>
        <v>8177617.3957850803</v>
      </c>
      <c r="M21" s="17">
        <f t="shared" si="28"/>
        <v>18946.063745272109</v>
      </c>
      <c r="N21" s="17">
        <f t="shared" si="7"/>
        <v>861.18471569418682</v>
      </c>
      <c r="O21" s="17">
        <f t="shared" si="8"/>
        <v>43059.235784709344</v>
      </c>
      <c r="P21" s="14">
        <f t="shared" si="9"/>
        <v>66569.578523160657</v>
      </c>
      <c r="Q21" s="14">
        <f t="shared" si="10"/>
        <v>631.47626008092891</v>
      </c>
      <c r="R21" s="14">
        <f t="shared" si="11"/>
        <v>12.245203576199538</v>
      </c>
      <c r="S21" s="14">
        <f t="shared" si="12"/>
        <v>384.89116977142476</v>
      </c>
      <c r="T21" s="14">
        <f t="shared" si="13"/>
        <v>3953.1555731198077</v>
      </c>
      <c r="U21" s="14">
        <f t="shared" si="14"/>
        <v>1028.6126334285532</v>
      </c>
      <c r="V21" s="14">
        <f>SUM(T21/(1+0.03)^18)</f>
        <v>2322.0622667188309</v>
      </c>
      <c r="W21" s="14">
        <f t="shared" si="15"/>
        <v>784.72365309423935</v>
      </c>
      <c r="X21" s="14">
        <f t="shared" si="16"/>
        <v>1693.623106945364</v>
      </c>
      <c r="Y21" s="14">
        <f t="shared" si="17"/>
        <v>597.67182552768429</v>
      </c>
      <c r="Z21" s="14">
        <f t="shared" si="18"/>
        <v>212.5617064240694</v>
      </c>
      <c r="AA21" s="14">
        <f t="shared" si="19"/>
        <v>2503.856638897118</v>
      </c>
      <c r="AB21" s="14">
        <f>SUM(AA21)/(1+0.07)^15</f>
        <v>907.51287252335749</v>
      </c>
      <c r="AC21" s="14">
        <f t="shared" si="20"/>
        <v>70583.877315497084</v>
      </c>
      <c r="AD21" s="14">
        <v>432375</v>
      </c>
      <c r="AE21" s="14">
        <f>AD21/(1+0.07)^18</f>
        <v>127924.16081955105</v>
      </c>
      <c r="AF21" s="14">
        <f>L21/(1+0.07)^18</f>
        <v>2419461.9088966032</v>
      </c>
      <c r="AG21" s="14">
        <f t="shared" si="21"/>
        <v>2448272.2172993743</v>
      </c>
      <c r="AH21" s="14">
        <f t="shared" si="22"/>
        <v>2449179.7301718974</v>
      </c>
      <c r="AL21" s="12"/>
    </row>
    <row r="22" spans="2:38" x14ac:dyDescent="0.25">
      <c r="B22" s="12">
        <f t="shared" si="0"/>
        <v>2038</v>
      </c>
      <c r="C22" s="17">
        <f t="shared" si="29"/>
        <v>132131.22680777908</v>
      </c>
      <c r="D22" s="17">
        <f t="shared" si="2"/>
        <v>6005.964854899049</v>
      </c>
      <c r="E22" s="14">
        <f t="shared" si="3"/>
        <v>3120699.3386055455</v>
      </c>
      <c r="F22" s="14">
        <f t="shared" si="4"/>
        <v>2021250.6587352152</v>
      </c>
      <c r="G22" s="14">
        <f t="shared" si="23"/>
        <v>3431147.9473197707</v>
      </c>
      <c r="H22" s="14">
        <f>SUM(((D22*(33.4+60))/(6))*((10180/453)/(2203))*54)/(1+0.03)^19</f>
        <v>29369.731866902563</v>
      </c>
      <c r="I22" s="14">
        <f t="shared" si="24"/>
        <v>8226.5998486986791</v>
      </c>
      <c r="J22" s="14">
        <f t="shared" si="5"/>
        <v>159.52522090749292</v>
      </c>
      <c r="K22" s="14">
        <f t="shared" si="6"/>
        <v>5014.1958441973211</v>
      </c>
      <c r="L22" s="14">
        <f t="shared" si="27"/>
        <v>8586498.2655743361</v>
      </c>
      <c r="M22" s="17">
        <f t="shared" si="28"/>
        <v>19675.487199465086</v>
      </c>
      <c r="N22" s="17">
        <f t="shared" si="7"/>
        <v>894.3403272484129</v>
      </c>
      <c r="O22" s="17">
        <f t="shared" si="8"/>
        <v>44717.016362420647</v>
      </c>
      <c r="P22" s="14">
        <f t="shared" si="9"/>
        <v>69132.507296302327</v>
      </c>
      <c r="Q22" s="14">
        <f t="shared" si="10"/>
        <v>655.78809609404459</v>
      </c>
      <c r="R22" s="14">
        <f t="shared" si="11"/>
        <v>12.716643913883216</v>
      </c>
      <c r="S22" s="14">
        <f t="shared" si="12"/>
        <v>399.70947980762458</v>
      </c>
      <c r="T22" s="14">
        <f t="shared" si="13"/>
        <v>4105.3520626849195</v>
      </c>
      <c r="U22" s="14">
        <f t="shared" si="14"/>
        <v>1068.2142198155525</v>
      </c>
      <c r="V22" s="14">
        <f>SUM(T22/(1+0.03)^19)</f>
        <v>2341.2249164927234</v>
      </c>
      <c r="W22" s="14">
        <f t="shared" si="15"/>
        <v>814.9355137383676</v>
      </c>
      <c r="X22" s="14">
        <f t="shared" si="16"/>
        <v>1758.8275965627602</v>
      </c>
      <c r="Y22" s="14">
        <f t="shared" si="17"/>
        <v>620.68219081050006</v>
      </c>
      <c r="Z22" s="14">
        <f t="shared" si="18"/>
        <v>220.74533212139602</v>
      </c>
      <c r="AA22" s="14">
        <f t="shared" si="19"/>
        <v>2600.2551194946564</v>
      </c>
      <c r="AB22" s="14">
        <f>SUM(AA22)/(1+0.07)^16</f>
        <v>880.79637207056692</v>
      </c>
      <c r="AC22" s="14">
        <f t="shared" si="20"/>
        <v>73169.464098603989</v>
      </c>
      <c r="AE22" s="14">
        <f t="shared" si="1"/>
        <v>0</v>
      </c>
      <c r="AF22" s="14">
        <f>L22/(1+0.07)^19</f>
        <v>2374238.3218144244</v>
      </c>
      <c r="AG22" s="14">
        <f t="shared" si="21"/>
        <v>2403608.053681327</v>
      </c>
      <c r="AH22" s="14">
        <f t="shared" si="22"/>
        <v>2404488.8500533975</v>
      </c>
      <c r="AL22" s="12"/>
    </row>
    <row r="23" spans="2:38" x14ac:dyDescent="0.25">
      <c r="B23" s="12">
        <f t="shared" si="0"/>
        <v>2039</v>
      </c>
      <c r="C23" s="17">
        <f t="shared" si="29"/>
        <v>138737.78814816804</v>
      </c>
      <c r="D23" s="17">
        <f t="shared" si="2"/>
        <v>6306.2630976440014</v>
      </c>
      <c r="E23" s="14">
        <f t="shared" si="3"/>
        <v>3276734.3055358231</v>
      </c>
      <c r="F23" s="14">
        <f t="shared" si="4"/>
        <v>2122313.1916719759</v>
      </c>
      <c r="G23" s="14">
        <f t="shared" si="23"/>
        <v>3602705.3446857594</v>
      </c>
      <c r="H23" s="14">
        <f>SUM(((D23*(33.4+60))/(6))*((10180/453)/(2203))*54)/(1+0.03)^20</f>
        <v>29940.017922570576</v>
      </c>
      <c r="I23" s="14">
        <f t="shared" si="24"/>
        <v>8637.9298411336131</v>
      </c>
      <c r="J23" s="14">
        <f t="shared" si="5"/>
        <v>167.50148195286758</v>
      </c>
      <c r="K23" s="14">
        <f t="shared" si="6"/>
        <v>5264.9056364071866</v>
      </c>
      <c r="L23" s="14">
        <f t="shared" si="27"/>
        <v>9015823.1788530499</v>
      </c>
      <c r="M23" s="17">
        <f t="shared" si="28"/>
        <v>20432.99345664449</v>
      </c>
      <c r="N23" s="17">
        <f t="shared" si="7"/>
        <v>928.77242984747681</v>
      </c>
      <c r="O23" s="17">
        <f t="shared" si="8"/>
        <v>46438.621492373844</v>
      </c>
      <c r="P23" s="14">
        <f t="shared" si="9"/>
        <v>71794.108827209973</v>
      </c>
      <c r="Q23" s="14">
        <f t="shared" si="10"/>
        <v>681.0359377936652</v>
      </c>
      <c r="R23" s="14">
        <f t="shared" si="11"/>
        <v>13.206234704567718</v>
      </c>
      <c r="S23" s="14">
        <f t="shared" si="12"/>
        <v>415.09829478021811</v>
      </c>
      <c r="T23" s="14">
        <f t="shared" si="13"/>
        <v>4263.4081170982899</v>
      </c>
      <c r="U23" s="14">
        <f t="shared" si="14"/>
        <v>1109.3404672784509</v>
      </c>
      <c r="V23" s="14">
        <f>SUM(T23/(1+0.03)^20)</f>
        <v>2360.5457046385382</v>
      </c>
      <c r="W23" s="14">
        <f t="shared" si="15"/>
        <v>846.31053101729447</v>
      </c>
      <c r="X23" s="14">
        <f t="shared" si="16"/>
        <v>1826.5424590304267</v>
      </c>
      <c r="Y23" s="14">
        <f t="shared" si="17"/>
        <v>644.57845515670431</v>
      </c>
      <c r="Z23" s="14">
        <f t="shared" si="18"/>
        <v>229.2440274080698</v>
      </c>
      <c r="AA23" s="14">
        <f t="shared" si="19"/>
        <v>2700.3649415952009</v>
      </c>
      <c r="AB23" s="14">
        <f>SUM(AA23)/(1+0.07)^17</f>
        <v>854.86638541615309</v>
      </c>
      <c r="AC23" s="14">
        <f t="shared" si="20"/>
        <v>75855.83144828197</v>
      </c>
      <c r="AE23" s="14">
        <f t="shared" si="1"/>
        <v>0</v>
      </c>
      <c r="AF23" s="14">
        <f>L23/(1+0.07)^20</f>
        <v>2329860.0354253692</v>
      </c>
      <c r="AG23" s="14">
        <f t="shared" si="21"/>
        <v>2359800.0533479396</v>
      </c>
      <c r="AH23" s="14">
        <f t="shared" si="22"/>
        <v>2360654.9197333558</v>
      </c>
      <c r="AL23" s="12"/>
    </row>
    <row r="24" spans="2:38" x14ac:dyDescent="0.25">
      <c r="B24" s="12">
        <f t="shared" si="0"/>
        <v>2040</v>
      </c>
      <c r="C24" s="17">
        <f t="shared" si="29"/>
        <v>145674.67755557643</v>
      </c>
      <c r="D24" s="17">
        <f t="shared" si="2"/>
        <v>6621.5762525262016</v>
      </c>
      <c r="E24" s="14">
        <f t="shared" si="3"/>
        <v>3440571.0208126139</v>
      </c>
      <c r="F24" s="14">
        <f t="shared" si="4"/>
        <v>2228428.8512555747</v>
      </c>
      <c r="G24" s="14">
        <f t="shared" si="23"/>
        <v>3782840.6119200471</v>
      </c>
      <c r="H24" s="14">
        <f>SUM(((D24*(33.4+60))/(6))*((10180/453)/(2203))*54)/(1+0.03)^21</f>
        <v>30521.377493882628</v>
      </c>
      <c r="I24" s="14">
        <f t="shared" si="24"/>
        <v>9069.8263331902945</v>
      </c>
      <c r="J24" s="14">
        <f t="shared" si="5"/>
        <v>175.87655605051091</v>
      </c>
      <c r="K24" s="14">
        <f t="shared" si="6"/>
        <v>5528.1509182275458</v>
      </c>
      <c r="L24" s="14">
        <f t="shared" si="27"/>
        <v>9466614.3377957027</v>
      </c>
      <c r="M24" s="17">
        <f t="shared" si="28"/>
        <v>21219.663704725303</v>
      </c>
      <c r="N24" s="17">
        <f t="shared" si="7"/>
        <v>964.53016839660472</v>
      </c>
      <c r="O24" s="17">
        <f t="shared" si="8"/>
        <v>48226.508419830236</v>
      </c>
      <c r="P24" s="14">
        <f t="shared" si="9"/>
        <v>74558.182017057552</v>
      </c>
      <c r="Q24" s="14">
        <f t="shared" si="10"/>
        <v>707.25582139872142</v>
      </c>
      <c r="R24" s="14">
        <f t="shared" si="11"/>
        <v>13.714674740693578</v>
      </c>
      <c r="S24" s="14">
        <f t="shared" si="12"/>
        <v>431.07957912925639</v>
      </c>
      <c r="T24" s="14">
        <f t="shared" si="13"/>
        <v>4427.5493296065733</v>
      </c>
      <c r="U24" s="14">
        <f t="shared" si="14"/>
        <v>1152.0500752686714</v>
      </c>
      <c r="V24" s="14">
        <f>SUM(T24/(1+0.03)^21)</f>
        <v>2380.0259361816716</v>
      </c>
      <c r="W24" s="14">
        <f t="shared" si="15"/>
        <v>878.8934864614605</v>
      </c>
      <c r="X24" s="14">
        <f t="shared" si="16"/>
        <v>1896.8643437030978</v>
      </c>
      <c r="Y24" s="14">
        <f t="shared" si="17"/>
        <v>669.39472568023746</v>
      </c>
      <c r="Z24" s="14">
        <f t="shared" si="18"/>
        <v>238.06992246328048</v>
      </c>
      <c r="AA24" s="14">
        <f t="shared" si="19"/>
        <v>2804.3289918466157</v>
      </c>
      <c r="AB24" s="14">
        <f>SUM(AA24)/(1+0.07)^18</f>
        <v>829.69975818193916</v>
      </c>
      <c r="AC24" s="14">
        <f t="shared" si="20"/>
        <v>78646.801197882625</v>
      </c>
      <c r="AE24" s="14">
        <f t="shared" si="1"/>
        <v>0</v>
      </c>
      <c r="AF24" s="14">
        <f>L24/(1+0.07)^21</f>
        <v>2286311.2497164835</v>
      </c>
      <c r="AG24" s="14">
        <f t="shared" si="21"/>
        <v>2316832.6272103661</v>
      </c>
      <c r="AH24" s="14">
        <f t="shared" si="22"/>
        <v>2317662.3269685479</v>
      </c>
      <c r="AL24" s="12"/>
    </row>
    <row r="25" spans="2:38" x14ac:dyDescent="0.25">
      <c r="B25" s="12">
        <f t="shared" si="0"/>
        <v>2041</v>
      </c>
      <c r="C25" s="17">
        <f t="shared" si="29"/>
        <v>152958.41143335524</v>
      </c>
      <c r="D25" s="17">
        <f t="shared" si="2"/>
        <v>6952.6550651525113</v>
      </c>
      <c r="E25" s="14">
        <f t="shared" si="3"/>
        <v>3612599.5718532447</v>
      </c>
      <c r="F25" s="14">
        <f t="shared" si="4"/>
        <v>2339850.2938183532</v>
      </c>
      <c r="G25" s="14">
        <f t="shared" si="23"/>
        <v>3971982.6425160491</v>
      </c>
      <c r="H25" s="14">
        <f>SUM(((D25*(33.4+60))/(6))*((10180/453)/(2203))*54)/(1+0.03)^22</f>
        <v>31114.025600559948</v>
      </c>
      <c r="I25" s="14">
        <f t="shared" si="24"/>
        <v>9523.3176498498069</v>
      </c>
      <c r="J25" s="14">
        <f t="shared" si="5"/>
        <v>184.67038385303644</v>
      </c>
      <c r="K25" s="14">
        <f t="shared" si="6"/>
        <v>5804.5584641389232</v>
      </c>
      <c r="L25" s="14">
        <f t="shared" si="27"/>
        <v>9939945.0546854902</v>
      </c>
      <c r="M25" s="17">
        <f t="shared" si="28"/>
        <v>22036.620757357228</v>
      </c>
      <c r="N25" s="17">
        <f t="shared" si="7"/>
        <v>1001.6645798798741</v>
      </c>
      <c r="O25" s="17">
        <f t="shared" si="8"/>
        <v>50083.228993993704</v>
      </c>
      <c r="P25" s="14">
        <f t="shared" si="9"/>
        <v>77428.672024714266</v>
      </c>
      <c r="Q25" s="14">
        <f t="shared" si="10"/>
        <v>734.48517052257228</v>
      </c>
      <c r="R25" s="14">
        <f t="shared" si="11"/>
        <v>14.242689718210281</v>
      </c>
      <c r="S25" s="14">
        <f t="shared" si="12"/>
        <v>447.67614292573285</v>
      </c>
      <c r="T25" s="14">
        <f t="shared" si="13"/>
        <v>4598.0099787964255</v>
      </c>
      <c r="U25" s="14">
        <f t="shared" si="14"/>
        <v>1196.4040031665154</v>
      </c>
      <c r="V25" s="14">
        <f>SUM(T25/(1+0.03)^22)</f>
        <v>2399.6669269171507</v>
      </c>
      <c r="W25" s="14">
        <f t="shared" si="15"/>
        <v>912.73088569022684</v>
      </c>
      <c r="X25" s="14">
        <f t="shared" si="16"/>
        <v>1969.8936209356675</v>
      </c>
      <c r="Y25" s="14">
        <f t="shared" si="17"/>
        <v>695.16642261892662</v>
      </c>
      <c r="Z25" s="14">
        <f t="shared" si="18"/>
        <v>247.23561447811679</v>
      </c>
      <c r="AA25" s="14">
        <f t="shared" si="19"/>
        <v>2912.2956580327109</v>
      </c>
      <c r="AB25" s="14">
        <f>SUM(AA25)/(1+0.07)^19</f>
        <v>805.27401763733076</v>
      </c>
      <c r="AC25" s="14">
        <f t="shared" si="20"/>
        <v>81546.343854958977</v>
      </c>
      <c r="AE25" s="14">
        <f t="shared" si="1"/>
        <v>0</v>
      </c>
      <c r="AF25" s="14">
        <f>L25/(1+0.07)^22</f>
        <v>2243576.4600021574</v>
      </c>
      <c r="AG25" s="14">
        <f t="shared" si="21"/>
        <v>2274690.4856027174</v>
      </c>
      <c r="AH25" s="14">
        <f t="shared" si="22"/>
        <v>2275495.7596203545</v>
      </c>
      <c r="AL25" s="12"/>
    </row>
    <row r="26" spans="2:38" x14ac:dyDescent="0.25">
      <c r="B26" s="12">
        <f t="shared" si="0"/>
        <v>2042</v>
      </c>
      <c r="C26" s="17">
        <f t="shared" si="29"/>
        <v>160606.332005023</v>
      </c>
      <c r="D26" s="17">
        <f t="shared" si="2"/>
        <v>7300.2878184101364</v>
      </c>
      <c r="E26" s="14">
        <f t="shared" si="3"/>
        <v>3793229.5504459064</v>
      </c>
      <c r="F26" s="14">
        <f t="shared" si="4"/>
        <v>2456842.8085092707</v>
      </c>
      <c r="G26" s="14">
        <f t="shared" si="23"/>
        <v>4170581.774641851</v>
      </c>
      <c r="H26" s="14">
        <f>SUM(((D26*(33.4+60))/(6))*((10180/453)/(2203))*54)/(1+0.03)^23</f>
        <v>31718.181437464031</v>
      </c>
      <c r="I26" s="14">
        <f t="shared" si="24"/>
        <v>9999.4835323422994</v>
      </c>
      <c r="J26" s="14">
        <f t="shared" si="5"/>
        <v>193.90390304568831</v>
      </c>
      <c r="K26" s="14">
        <f t="shared" si="6"/>
        <v>6094.7863873458691</v>
      </c>
      <c r="L26" s="14">
        <f t="shared" si="27"/>
        <v>10436942.307419762</v>
      </c>
      <c r="M26" s="17">
        <f t="shared" si="28"/>
        <v>22885.030656515482</v>
      </c>
      <c r="N26" s="17">
        <f t="shared" si="7"/>
        <v>1040.2286662052493</v>
      </c>
      <c r="O26" s="17">
        <f t="shared" si="8"/>
        <v>52011.433310262466</v>
      </c>
      <c r="P26" s="14">
        <f t="shared" si="9"/>
        <v>80409.675897665773</v>
      </c>
      <c r="Q26" s="14">
        <f t="shared" si="10"/>
        <v>762.76284958769133</v>
      </c>
      <c r="R26" s="14">
        <f t="shared" si="11"/>
        <v>14.791033272361378</v>
      </c>
      <c r="S26" s="14">
        <f t="shared" si="12"/>
        <v>464.91167442837354</v>
      </c>
      <c r="T26" s="14">
        <f t="shared" si="13"/>
        <v>4775.0333629800898</v>
      </c>
      <c r="U26" s="14">
        <f t="shared" si="14"/>
        <v>1242.4655572884262</v>
      </c>
      <c r="V26" s="14">
        <f>SUM(T26/(1+0.03)^23)</f>
        <v>2419.4700034985067</v>
      </c>
      <c r="W26" s="14">
        <f t="shared" si="15"/>
        <v>947.87102478930058</v>
      </c>
      <c r="X26" s="14">
        <f t="shared" si="16"/>
        <v>2045.7345253416906</v>
      </c>
      <c r="Y26" s="14">
        <f t="shared" si="17"/>
        <v>721.93032988975528</v>
      </c>
      <c r="Z26" s="14">
        <f t="shared" si="18"/>
        <v>256.75418563552432</v>
      </c>
      <c r="AA26" s="14">
        <f t="shared" si="19"/>
        <v>3024.4190408669701</v>
      </c>
      <c r="AB26" s="14">
        <f>SUM(AA26)/(1+0.07)^20</f>
        <v>781.56735263211965</v>
      </c>
      <c r="AC26" s="14">
        <f t="shared" si="20"/>
        <v>84558.584278585695</v>
      </c>
      <c r="AD26" s="14">
        <v>2517975</v>
      </c>
      <c r="AE26" s="14">
        <f>AD26/(1+0.07)^23</f>
        <v>531158.9785911605</v>
      </c>
      <c r="AF26" s="14">
        <f>L26/(1+0.07)^23</f>
        <v>2201640.4514039853</v>
      </c>
      <c r="AG26" s="14">
        <f t="shared" si="21"/>
        <v>2233358.6328414492</v>
      </c>
      <c r="AH26" s="14">
        <f t="shared" si="22"/>
        <v>2234140.2001940813</v>
      </c>
      <c r="AL26" s="12"/>
    </row>
    <row r="27" spans="2:38" x14ac:dyDescent="0.25">
      <c r="B27" s="12">
        <f t="shared" si="0"/>
        <v>2043</v>
      </c>
      <c r="C27" s="17">
        <f t="shared" si="29"/>
        <v>168636.64860527415</v>
      </c>
      <c r="D27" s="17">
        <f t="shared" si="2"/>
        <v>7665.3022093306427</v>
      </c>
      <c r="E27" s="14">
        <f t="shared" si="3"/>
        <v>3982891.0279682013</v>
      </c>
      <c r="F27" s="14">
        <f t="shared" si="4"/>
        <v>2579684.9489347343</v>
      </c>
      <c r="G27" s="14">
        <f t="shared" si="23"/>
        <v>4379110.8633739445</v>
      </c>
      <c r="H27" s="14">
        <f>SUM(((D27*(33.4+60))/(6))*((10180/453)/(2203))*54)/(1+0.03)^24</f>
        <v>32334.068455667206</v>
      </c>
      <c r="I27" s="14">
        <f t="shared" si="24"/>
        <v>10499.457708959413</v>
      </c>
      <c r="J27" s="14">
        <f t="shared" si="5"/>
        <v>203.59909819797269</v>
      </c>
      <c r="K27" s="14">
        <f t="shared" si="6"/>
        <v>6399.5257067131624</v>
      </c>
      <c r="L27" s="14">
        <f t="shared" si="27"/>
        <v>10958789.422790751</v>
      </c>
      <c r="M27" s="17">
        <f t="shared" si="28"/>
        <v>23766.10433679133</v>
      </c>
      <c r="N27" s="17">
        <f t="shared" si="7"/>
        <v>1080.2774698541514</v>
      </c>
      <c r="O27" s="17">
        <f t="shared" si="8"/>
        <v>54013.873492707571</v>
      </c>
      <c r="P27" s="14">
        <f t="shared" si="9"/>
        <v>83505.448419725901</v>
      </c>
      <c r="Q27" s="14">
        <f t="shared" si="10"/>
        <v>792.1292192968175</v>
      </c>
      <c r="R27" s="14">
        <f t="shared" si="11"/>
        <v>15.360488053347289</v>
      </c>
      <c r="S27" s="14">
        <f t="shared" si="12"/>
        <v>482.81077389386598</v>
      </c>
      <c r="T27" s="14">
        <f t="shared" si="13"/>
        <v>4958.8721474548238</v>
      </c>
      <c r="U27" s="14">
        <f t="shared" si="14"/>
        <v>1290.3004812440308</v>
      </c>
      <c r="V27" s="14">
        <f>SUM(T27/(1+0.03)^24)</f>
        <v>2439.4365035273781</v>
      </c>
      <c r="W27" s="14">
        <f t="shared" si="15"/>
        <v>984.36405924368876</v>
      </c>
      <c r="X27" s="14">
        <f t="shared" si="16"/>
        <v>2124.495304567346</v>
      </c>
      <c r="Y27" s="14">
        <f t="shared" si="17"/>
        <v>749.72464759051093</v>
      </c>
      <c r="Z27" s="14">
        <f t="shared" si="18"/>
        <v>266.63922178249197</v>
      </c>
      <c r="AA27" s="14">
        <f t="shared" si="19"/>
        <v>3140.8591739403487</v>
      </c>
      <c r="AB27" s="14">
        <f>SUM(AA27)/(1+0.07)^21</f>
        <v>758.55859412005259</v>
      </c>
      <c r="AC27" s="14">
        <f t="shared" si="20"/>
        <v>87687.807576617022</v>
      </c>
      <c r="AE27" s="14">
        <f>AD27/(1+0.07)^23</f>
        <v>0</v>
      </c>
      <c r="AF27" s="14">
        <f>L27/(1+0.07)^24</f>
        <v>2160488.2934338176</v>
      </c>
      <c r="AG27" s="14">
        <f t="shared" si="21"/>
        <v>2192822.3618894848</v>
      </c>
      <c r="AH27" s="14">
        <f t="shared" si="22"/>
        <v>2193580.920483605</v>
      </c>
      <c r="AL27" s="12"/>
    </row>
    <row r="28" spans="2:38" x14ac:dyDescent="0.25">
      <c r="B28" s="12">
        <f t="shared" si="0"/>
        <v>2044</v>
      </c>
      <c r="C28" s="17">
        <f t="shared" si="29"/>
        <v>177068.48103553787</v>
      </c>
      <c r="D28" s="17">
        <f t="shared" si="2"/>
        <v>8048.5673197971755</v>
      </c>
      <c r="E28" s="14">
        <f t="shared" si="3"/>
        <v>4182035.5793666122</v>
      </c>
      <c r="F28" s="14">
        <f t="shared" si="4"/>
        <v>2708669.1963814711</v>
      </c>
      <c r="G28" s="14">
        <f t="shared" si="23"/>
        <v>4598066.4065426402</v>
      </c>
      <c r="H28" s="14">
        <f>SUM(((D28*(33.4+60))/(6))*((10180/453)/(2203))*54)/(1+0.03)^25</f>
        <v>32961.914445097646</v>
      </c>
      <c r="I28" s="14">
        <f t="shared" si="24"/>
        <v>11024.430594407384</v>
      </c>
      <c r="J28" s="14">
        <f t="shared" si="5"/>
        <v>213.77905310787133</v>
      </c>
      <c r="K28" s="14">
        <f t="shared" si="6"/>
        <v>6719.5019920488203</v>
      </c>
      <c r="L28" s="14">
        <f t="shared" si="27"/>
        <v>11506728.893930288</v>
      </c>
      <c r="M28" s="17">
        <f>SUM(M27*0.03)+M27</f>
        <v>24479.087466895071</v>
      </c>
      <c r="N28" s="17">
        <f t="shared" si="7"/>
        <v>1112.6857939497759</v>
      </c>
      <c r="O28" s="17">
        <f t="shared" si="8"/>
        <v>55634.289697488792</v>
      </c>
      <c r="P28" s="14">
        <f t="shared" si="9"/>
        <v>86010.611872317677</v>
      </c>
      <c r="Q28" s="14">
        <f t="shared" si="10"/>
        <v>815.89309587572188</v>
      </c>
      <c r="R28" s="14">
        <f t="shared" si="11"/>
        <v>15.821302694947704</v>
      </c>
      <c r="S28" s="14">
        <f t="shared" si="12"/>
        <v>497.29509711068198</v>
      </c>
      <c r="T28" s="14">
        <f t="shared" si="13"/>
        <v>5107.638311878467</v>
      </c>
      <c r="U28" s="14">
        <f t="shared" si="14"/>
        <v>1329.0094956813516</v>
      </c>
      <c r="V28" s="14">
        <f>SUM(T28/(1+0.03)^25)</f>
        <v>2439.4365035273777</v>
      </c>
      <c r="W28" s="14">
        <f t="shared" si="15"/>
        <v>1013.8949810209992</v>
      </c>
      <c r="X28" s="14">
        <f t="shared" si="16"/>
        <v>2188.2301637043661</v>
      </c>
      <c r="Y28" s="14">
        <f t="shared" si="17"/>
        <v>772.21638701822621</v>
      </c>
      <c r="Z28" s="14">
        <f t="shared" si="18"/>
        <v>274.63839843596668</v>
      </c>
      <c r="AA28" s="14">
        <f t="shared" si="19"/>
        <v>3235.0849491585591</v>
      </c>
      <c r="AB28" s="14">
        <f>SUM(AA28)/(1+0.07)^22</f>
        <v>730.20126349874215</v>
      </c>
      <c r="AC28" s="14">
        <f t="shared" si="20"/>
        <v>90194.144620364808</v>
      </c>
      <c r="AE28" s="14">
        <f t="shared" si="1"/>
        <v>0</v>
      </c>
      <c r="AF28" s="14">
        <f>L28/(1+0.07)^25</f>
        <v>2120105.334678045</v>
      </c>
      <c r="AG28" s="14">
        <f t="shared" si="21"/>
        <v>2153067.2491231426</v>
      </c>
      <c r="AH28" s="14">
        <f t="shared" si="22"/>
        <v>2153797.4503866411</v>
      </c>
      <c r="AL28" s="12"/>
    </row>
    <row r="29" spans="2:38" x14ac:dyDescent="0.25">
      <c r="B29" s="12">
        <f t="shared" si="0"/>
        <v>2045</v>
      </c>
      <c r="C29" s="17">
        <f>+SUM(C28*0.03)+C28</f>
        <v>182380.53546660402</v>
      </c>
      <c r="D29" s="17">
        <f t="shared" si="2"/>
        <v>8290.0243393910914</v>
      </c>
      <c r="E29" s="14">
        <f t="shared" si="3"/>
        <v>4307496.6467476115</v>
      </c>
      <c r="F29" s="14">
        <f t="shared" si="4"/>
        <v>2789929.2722729156</v>
      </c>
      <c r="G29" s="14">
        <f t="shared" si="23"/>
        <v>4736008.3987389207</v>
      </c>
      <c r="H29" s="14">
        <f>SUM(((D29*(33.4+60))/(6))*((10180/453)/(2203))*54)/(1+0.03)^26</f>
        <v>32961.914445097646</v>
      </c>
      <c r="I29" s="14">
        <f t="shared" si="24"/>
        <v>11355.163512239606</v>
      </c>
      <c r="J29" s="14">
        <f t="shared" si="5"/>
        <v>220.19242470110748</v>
      </c>
      <c r="K29" s="14">
        <f t="shared" si="6"/>
        <v>6921.0870518102847</v>
      </c>
      <c r="L29" s="14">
        <f t="shared" si="27"/>
        <v>11851930.760748198</v>
      </c>
      <c r="M29" s="17">
        <f t="shared" ref="M29:M36" si="30">SUM(M28*0.03)+M28</f>
        <v>25213.460090901925</v>
      </c>
      <c r="N29" s="17">
        <f t="shared" si="7"/>
        <v>1146.0663677682694</v>
      </c>
      <c r="O29" s="17">
        <f t="shared" si="8"/>
        <v>57303.318388413471</v>
      </c>
      <c r="P29" s="14">
        <f t="shared" si="9"/>
        <v>88590.930228487225</v>
      </c>
      <c r="Q29" s="14">
        <f t="shared" si="10"/>
        <v>840.36988875199381</v>
      </c>
      <c r="R29" s="14">
        <f t="shared" si="11"/>
        <v>16.295941775796145</v>
      </c>
      <c r="S29" s="14">
        <f t="shared" si="12"/>
        <v>512.21395002400243</v>
      </c>
      <c r="T29" s="14">
        <f t="shared" si="13"/>
        <v>5260.8674612348232</v>
      </c>
      <c r="U29" s="14">
        <f t="shared" si="14"/>
        <v>1368.8797805517925</v>
      </c>
      <c r="V29" s="14">
        <f>SUM(T29/(1+0.03)^26)</f>
        <v>2439.4365035273781</v>
      </c>
      <c r="W29" s="14">
        <f t="shared" si="15"/>
        <v>1044.3118304516295</v>
      </c>
      <c r="X29" s="14">
        <f t="shared" si="16"/>
        <v>2253.8770686154976</v>
      </c>
      <c r="Y29" s="14">
        <f t="shared" si="17"/>
        <v>795.38287862877314</v>
      </c>
      <c r="Z29" s="14">
        <f t="shared" si="18"/>
        <v>282.87755038904578</v>
      </c>
      <c r="AA29" s="14">
        <f t="shared" si="19"/>
        <v>3332.1374976333163</v>
      </c>
      <c r="AB29" s="14">
        <f>SUM(AA29)/(1+0.07)^23</f>
        <v>702.90402000346216</v>
      </c>
      <c r="AC29" s="14">
        <f t="shared" si="20"/>
        <v>92777.582582469695</v>
      </c>
      <c r="AE29" s="14">
        <f t="shared" si="1"/>
        <v>0</v>
      </c>
      <c r="AF29" s="14">
        <f>L29/(1+0.07)^26</f>
        <v>2040849.0604844738</v>
      </c>
      <c r="AG29" s="14">
        <f t="shared" si="21"/>
        <v>2073810.9749295714</v>
      </c>
      <c r="AH29" s="14">
        <f t="shared" si="22"/>
        <v>2074513.8789495749</v>
      </c>
      <c r="AL29" s="12"/>
    </row>
    <row r="30" spans="2:38" x14ac:dyDescent="0.25">
      <c r="B30" s="12">
        <f t="shared" si="0"/>
        <v>2046</v>
      </c>
      <c r="C30" s="17">
        <f t="shared" ref="C30:C36" si="31">+SUM(C29*0.03)+C29</f>
        <v>187851.95153060215</v>
      </c>
      <c r="D30" s="17">
        <f t="shared" si="2"/>
        <v>8538.7250695728253</v>
      </c>
      <c r="E30" s="14">
        <f t="shared" si="3"/>
        <v>4436721.5461500399</v>
      </c>
      <c r="F30" s="14">
        <f t="shared" si="4"/>
        <v>2873627.1504411031</v>
      </c>
      <c r="G30" s="14">
        <f t="shared" si="23"/>
        <v>4878088.6507010888</v>
      </c>
      <c r="H30" s="14">
        <f>SUM(((D30*(33.4+60))/(6))*((10180/453)/(2203))*54)/(1+0.03)^27</f>
        <v>32961.914445097653</v>
      </c>
      <c r="I30" s="14">
        <f t="shared" si="24"/>
        <v>11695.818417606795</v>
      </c>
      <c r="J30" s="14">
        <f t="shared" si="5"/>
        <v>226.79819744214072</v>
      </c>
      <c r="K30" s="14">
        <f t="shared" si="6"/>
        <v>7128.7196633645945</v>
      </c>
      <c r="L30" s="14">
        <f t="shared" si="27"/>
        <v>12207488.683570646</v>
      </c>
      <c r="M30" s="17">
        <f t="shared" si="30"/>
        <v>25969.863893628983</v>
      </c>
      <c r="N30" s="17">
        <f t="shared" si="7"/>
        <v>1180.4483588013172</v>
      </c>
      <c r="O30" s="17">
        <f t="shared" si="8"/>
        <v>59022.417940065861</v>
      </c>
      <c r="P30" s="14">
        <f t="shared" si="9"/>
        <v>91248.65813534183</v>
      </c>
      <c r="Q30" s="14">
        <f t="shared" si="10"/>
        <v>865.58098541455331</v>
      </c>
      <c r="R30" s="14">
        <f t="shared" si="11"/>
        <v>16.784820029070023</v>
      </c>
      <c r="S30" s="14">
        <f t="shared" si="12"/>
        <v>527.58036852472242</v>
      </c>
      <c r="T30" s="14">
        <f t="shared" si="13"/>
        <v>5418.6934850718653</v>
      </c>
      <c r="U30" s="14">
        <f t="shared" si="14"/>
        <v>1409.9461739683456</v>
      </c>
      <c r="V30" s="14">
        <f>SUM(T30/(1+0.03)^27)</f>
        <v>2439.4365035273772</v>
      </c>
      <c r="W30" s="14">
        <f t="shared" si="15"/>
        <v>1075.641185365178</v>
      </c>
      <c r="X30" s="14">
        <f t="shared" si="16"/>
        <v>2321.4933806739618</v>
      </c>
      <c r="Y30" s="14">
        <f t="shared" si="17"/>
        <v>819.24436498763612</v>
      </c>
      <c r="Z30" s="14">
        <f t="shared" si="18"/>
        <v>291.36387690071712</v>
      </c>
      <c r="AA30" s="14">
        <f t="shared" si="19"/>
        <v>3432.1016225623148</v>
      </c>
      <c r="AB30" s="14">
        <f>SUM(AA30)/(1+0.07)^24</f>
        <v>676.62723420893997</v>
      </c>
      <c r="AC30" s="14">
        <f t="shared" si="20"/>
        <v>95440.363058443327</v>
      </c>
      <c r="AE30" s="14">
        <f t="shared" si="1"/>
        <v>0</v>
      </c>
      <c r="AF30" s="14">
        <f>L30/(1+0.07)^27</f>
        <v>1964555.6376626242</v>
      </c>
      <c r="AG30" s="14">
        <f t="shared" si="21"/>
        <v>1997517.5521077218</v>
      </c>
      <c r="AH30" s="14">
        <f t="shared" si="22"/>
        <v>1998194.1793419307</v>
      </c>
      <c r="AL30" s="12"/>
    </row>
    <row r="31" spans="2:38" x14ac:dyDescent="0.25">
      <c r="B31" s="12">
        <f t="shared" si="0"/>
        <v>2047</v>
      </c>
      <c r="C31" s="17">
        <f t="shared" si="31"/>
        <v>193487.51007652021</v>
      </c>
      <c r="D31" s="17">
        <f t="shared" si="2"/>
        <v>8794.8868216600094</v>
      </c>
      <c r="E31" s="14">
        <f t="shared" si="3"/>
        <v>4569823.1925345398</v>
      </c>
      <c r="F31" s="14">
        <f t="shared" si="4"/>
        <v>2959835.9649543362</v>
      </c>
      <c r="G31" s="14">
        <f t="shared" si="23"/>
        <v>5024431.310222121</v>
      </c>
      <c r="H31" s="14">
        <f>SUM(((D31*(33.4+60))/(6))*((10180/453)/(2203))*54)/(1+0.03)^28</f>
        <v>32961.914445097646</v>
      </c>
      <c r="I31" s="14">
        <f t="shared" si="24"/>
        <v>12046.692970135002</v>
      </c>
      <c r="J31" s="14">
        <f t="shared" si="5"/>
        <v>233.60214336540494</v>
      </c>
      <c r="K31" s="14">
        <f t="shared" si="6"/>
        <v>7342.5812532655327</v>
      </c>
      <c r="L31" s="14">
        <f t="shared" si="27"/>
        <v>12573713.344077764</v>
      </c>
      <c r="M31" s="17">
        <f t="shared" si="30"/>
        <v>26748.959810437853</v>
      </c>
      <c r="N31" s="17">
        <f t="shared" si="7"/>
        <v>1215.8618095653569</v>
      </c>
      <c r="O31" s="17">
        <f t="shared" si="8"/>
        <v>60793.090478267848</v>
      </c>
      <c r="P31" s="14">
        <f t="shared" si="9"/>
        <v>93986.117879402096</v>
      </c>
      <c r="Q31" s="14">
        <f t="shared" si="10"/>
        <v>891.5484149769901</v>
      </c>
      <c r="R31" s="14">
        <f t="shared" si="11"/>
        <v>17.288364629942127</v>
      </c>
      <c r="S31" s="14">
        <f t="shared" si="12"/>
        <v>543.40777958046408</v>
      </c>
      <c r="T31" s="14">
        <f t="shared" si="13"/>
        <v>5581.2542896240229</v>
      </c>
      <c r="U31" s="14">
        <f t="shared" si="14"/>
        <v>1452.2445591873964</v>
      </c>
      <c r="V31" s="14">
        <f>SUM(T31/(1+0.03)^28)</f>
        <v>2439.4365035273781</v>
      </c>
      <c r="W31" s="14">
        <f t="shared" si="15"/>
        <v>1107.9104209261336</v>
      </c>
      <c r="X31" s="14">
        <f t="shared" si="16"/>
        <v>2391.1381820941815</v>
      </c>
      <c r="Y31" s="14">
        <f t="shared" si="17"/>
        <v>843.82169593726542</v>
      </c>
      <c r="Z31" s="14">
        <f t="shared" si="18"/>
        <v>300.10479320773868</v>
      </c>
      <c r="AA31" s="14">
        <f t="shared" si="19"/>
        <v>3535.0646712391854</v>
      </c>
      <c r="AB31" s="14">
        <f>SUM(AA31)/(1+0.07)^25</f>
        <v>651.33275816374612</v>
      </c>
      <c r="AC31" s="14">
        <f t="shared" si="20"/>
        <v>98184.797562019347</v>
      </c>
      <c r="AE31" s="14">
        <f>AD31/(1+0.07)^28</f>
        <v>0</v>
      </c>
      <c r="AF31" s="14">
        <f>L31/(1+0.07)^28</f>
        <v>1891114.3054135542</v>
      </c>
      <c r="AG31" s="14">
        <f t="shared" si="21"/>
        <v>1924076.2198586517</v>
      </c>
      <c r="AH31" s="14">
        <f t="shared" si="22"/>
        <v>1924727.5526168155</v>
      </c>
      <c r="AL31" s="12"/>
    </row>
    <row r="32" spans="2:38" x14ac:dyDescent="0.25">
      <c r="B32" s="12">
        <f t="shared" si="0"/>
        <v>2048</v>
      </c>
      <c r="C32" s="17">
        <f t="shared" si="31"/>
        <v>199292.13537881582</v>
      </c>
      <c r="D32" s="17">
        <f t="shared" si="2"/>
        <v>9058.733426309811</v>
      </c>
      <c r="E32" s="14">
        <f t="shared" si="3"/>
        <v>4706917.8883105777</v>
      </c>
      <c r="F32" s="14">
        <f t="shared" si="4"/>
        <v>3048631.0439029667</v>
      </c>
      <c r="G32" s="14">
        <f t="shared" si="23"/>
        <v>5175164.2495287862</v>
      </c>
      <c r="H32" s="14">
        <f>SUM(((D32*(33.4+60))/(6))*((10180/453)/(2203))*54)/(1+0.03)^29</f>
        <v>32961.91444509766</v>
      </c>
      <c r="I32" s="14">
        <f t="shared" si="24"/>
        <v>12408.093759239051</v>
      </c>
      <c r="J32" s="14">
        <f t="shared" si="5"/>
        <v>240.6102076663671</v>
      </c>
      <c r="K32" s="14">
        <f t="shared" si="6"/>
        <v>7562.8586908634989</v>
      </c>
      <c r="L32" s="14">
        <f t="shared" si="27"/>
        <v>12950924.744400099</v>
      </c>
      <c r="M32" s="17">
        <f t="shared" si="30"/>
        <v>27551.428604750989</v>
      </c>
      <c r="N32" s="17">
        <f t="shared" si="7"/>
        <v>1252.3376638523175</v>
      </c>
      <c r="O32" s="17">
        <f t="shared" si="8"/>
        <v>62616.883192615875</v>
      </c>
      <c r="P32" s="14">
        <f t="shared" si="9"/>
        <v>96805.701415784148</v>
      </c>
      <c r="Q32" s="14">
        <f t="shared" si="10"/>
        <v>918.29486742629967</v>
      </c>
      <c r="R32" s="14">
        <f t="shared" si="11"/>
        <v>17.807015568840388</v>
      </c>
      <c r="S32" s="14">
        <f t="shared" si="12"/>
        <v>559.71001296787801</v>
      </c>
      <c r="T32" s="14">
        <f t="shared" si="13"/>
        <v>5748.6919183127429</v>
      </c>
      <c r="U32" s="14">
        <f t="shared" si="14"/>
        <v>1495.8118959630181</v>
      </c>
      <c r="V32" s="14">
        <f>SUM(T32/(1+0.03)^29)</f>
        <v>2439.4365035273781</v>
      </c>
      <c r="W32" s="14">
        <f t="shared" si="15"/>
        <v>1141.1477335539173</v>
      </c>
      <c r="X32" s="14">
        <f t="shared" si="16"/>
        <v>2462.8723275570064</v>
      </c>
      <c r="Y32" s="14">
        <f t="shared" si="17"/>
        <v>869.13634681538315</v>
      </c>
      <c r="Z32" s="14">
        <f t="shared" si="18"/>
        <v>309.10793700397079</v>
      </c>
      <c r="AA32" s="14">
        <f t="shared" si="19"/>
        <v>3641.1166113763602</v>
      </c>
      <c r="AB32" s="14">
        <f>SUM(AA32)/(1+0.07)^26</f>
        <v>626.98387000809203</v>
      </c>
      <c r="AC32" s="14">
        <f t="shared" si="20"/>
        <v>101013.26952287354</v>
      </c>
      <c r="AE32" s="14">
        <f t="shared" si="1"/>
        <v>0</v>
      </c>
      <c r="AF32" s="14">
        <f>L32/(1+0.07)^29</f>
        <v>1820418.4435289355</v>
      </c>
      <c r="AG32" s="14">
        <f t="shared" si="21"/>
        <v>1853380.3579740331</v>
      </c>
      <c r="AH32" s="14">
        <f t="shared" si="22"/>
        <v>1854007.3418440411</v>
      </c>
      <c r="AL32" s="12"/>
    </row>
    <row r="33" spans="1:252" x14ac:dyDescent="0.25">
      <c r="B33" s="12">
        <f t="shared" si="0"/>
        <v>2049</v>
      </c>
      <c r="C33" s="17">
        <f t="shared" si="31"/>
        <v>205270.89944018028</v>
      </c>
      <c r="D33" s="17">
        <f t="shared" si="2"/>
        <v>9330.4954290991027</v>
      </c>
      <c r="E33" s="14">
        <f t="shared" si="3"/>
        <v>4848125.4249598933</v>
      </c>
      <c r="F33" s="14">
        <f t="shared" si="4"/>
        <v>3140089.9752200544</v>
      </c>
      <c r="G33" s="14">
        <f t="shared" si="23"/>
        <v>5330419.177014648</v>
      </c>
      <c r="H33" s="14">
        <f>SUM(((D33*(33.4+60))/(6))*((10180/453)/(2203))*54)/(1+0.03)^30</f>
        <v>32961.914445097653</v>
      </c>
      <c r="I33" s="14">
        <f t="shared" si="24"/>
        <v>12780.33657201622</v>
      </c>
      <c r="J33" s="14">
        <f t="shared" si="5"/>
        <v>247.82851389635809</v>
      </c>
      <c r="K33" s="14">
        <f t="shared" si="6"/>
        <v>7789.7444515894031</v>
      </c>
      <c r="L33" s="14">
        <f t="shared" si="27"/>
        <v>13339452.486732097</v>
      </c>
      <c r="M33" s="17">
        <f t="shared" si="30"/>
        <v>28377.971462893518</v>
      </c>
      <c r="N33" s="17">
        <f t="shared" si="7"/>
        <v>1289.9077937678871</v>
      </c>
      <c r="O33" s="17">
        <f t="shared" si="8"/>
        <v>64495.38968839436</v>
      </c>
      <c r="P33" s="14">
        <f t="shared" si="9"/>
        <v>99709.872458257683</v>
      </c>
      <c r="Q33" s="14">
        <f t="shared" si="10"/>
        <v>945.8437134490888</v>
      </c>
      <c r="R33" s="14">
        <f t="shared" si="11"/>
        <v>18.341226035905603</v>
      </c>
      <c r="S33" s="14">
        <f t="shared" si="12"/>
        <v>576.50131335691447</v>
      </c>
      <c r="T33" s="14">
        <f t="shared" si="13"/>
        <v>5921.1526758621249</v>
      </c>
      <c r="U33" s="14">
        <f t="shared" si="14"/>
        <v>1540.6862528419088</v>
      </c>
      <c r="V33" s="14">
        <f>SUM(T33/(1+0.03)^30)</f>
        <v>2439.4365035273781</v>
      </c>
      <c r="W33" s="14">
        <f t="shared" si="15"/>
        <v>1175.382165560535</v>
      </c>
      <c r="X33" s="14">
        <f t="shared" si="16"/>
        <v>2536.758497383717</v>
      </c>
      <c r="Y33" s="14">
        <f t="shared" si="17"/>
        <v>895.21043721984483</v>
      </c>
      <c r="Z33" s="14">
        <f t="shared" si="18"/>
        <v>318.38117511408996</v>
      </c>
      <c r="AA33" s="14">
        <f t="shared" si="19"/>
        <v>3750.3501097176522</v>
      </c>
      <c r="AB33" s="14">
        <f>SUM(AA33)/(1+0.07)^27</f>
        <v>603.54522066199524</v>
      </c>
      <c r="AC33" s="14">
        <f t="shared" si="20"/>
        <v>103928.23634800759</v>
      </c>
      <c r="AE33" s="14">
        <f t="shared" si="1"/>
        <v>0</v>
      </c>
      <c r="AF33" s="14">
        <f>L33/(1+0.07)^30</f>
        <v>1752365.4176026199</v>
      </c>
      <c r="AG33" s="14">
        <f t="shared" si="21"/>
        <v>1785327.3320477174</v>
      </c>
      <c r="AH33" s="14">
        <f t="shared" si="22"/>
        <v>1785930.8772683793</v>
      </c>
      <c r="AL33" s="12"/>
    </row>
    <row r="34" spans="1:252" x14ac:dyDescent="0.25">
      <c r="B34" s="12">
        <f t="shared" si="0"/>
        <v>2050</v>
      </c>
      <c r="C34" s="17">
        <f t="shared" si="31"/>
        <v>211429.02642338569</v>
      </c>
      <c r="D34" s="17">
        <f t="shared" si="2"/>
        <v>9610.4102919720772</v>
      </c>
      <c r="E34" s="14">
        <f t="shared" si="3"/>
        <v>4993569.1877086908</v>
      </c>
      <c r="F34" s="14">
        <f t="shared" si="4"/>
        <v>3234292.6744766571</v>
      </c>
      <c r="G34" s="14">
        <f t="shared" si="23"/>
        <v>5490331.7523250878</v>
      </c>
      <c r="H34" s="14">
        <f>SUM(((D34*(33.4+60))/(6))*((10180/453)/(2203))*54)/(1+0.03)^31</f>
        <v>32961.914445097646</v>
      </c>
      <c r="I34" s="14">
        <f t="shared" si="24"/>
        <v>13163.746669176708</v>
      </c>
      <c r="J34" s="14">
        <f t="shared" si="5"/>
        <v>255.26336931324886</v>
      </c>
      <c r="K34" s="14">
        <f t="shared" si="6"/>
        <v>8023.4367851370844</v>
      </c>
      <c r="L34" s="14">
        <f t="shared" si="27"/>
        <v>13739636.061334062</v>
      </c>
      <c r="M34" s="17">
        <f t="shared" si="30"/>
        <v>29229.310606780324</v>
      </c>
      <c r="N34" s="17">
        <f t="shared" si="7"/>
        <v>1328.6050275809239</v>
      </c>
      <c r="O34" s="17">
        <f t="shared" si="8"/>
        <v>66430.251379046196</v>
      </c>
      <c r="P34" s="14">
        <f t="shared" si="9"/>
        <v>102701.16863200543</v>
      </c>
      <c r="Q34" s="14">
        <f t="shared" si="10"/>
        <v>974.21902485256169</v>
      </c>
      <c r="R34" s="14">
        <f t="shared" si="11"/>
        <v>18.89146281698277</v>
      </c>
      <c r="S34" s="14">
        <f t="shared" si="12"/>
        <v>593.796352757622</v>
      </c>
      <c r="T34" s="14">
        <f t="shared" si="13"/>
        <v>6098.7872561379909</v>
      </c>
      <c r="U34" s="14">
        <f t="shared" si="14"/>
        <v>1586.9068404271666</v>
      </c>
      <c r="V34" s="14">
        <f>SUM(T34/(1+0.03)^31)</f>
        <v>2439.4365035273786</v>
      </c>
      <c r="W34" s="14">
        <f t="shared" si="15"/>
        <v>1210.6436305273514</v>
      </c>
      <c r="X34" s="14">
        <f t="shared" si="16"/>
        <v>2612.8612523052284</v>
      </c>
      <c r="Y34" s="14">
        <f t="shared" si="17"/>
        <v>922.06675033644024</v>
      </c>
      <c r="Z34" s="14">
        <f t="shared" si="18"/>
        <v>327.93261036751272</v>
      </c>
      <c r="AA34" s="14">
        <f t="shared" si="19"/>
        <v>3862.8606130091812</v>
      </c>
      <c r="AB34" s="14">
        <f>SUM(AA34)/(1+0.07)^28</f>
        <v>580.98278250640658</v>
      </c>
      <c r="AC34" s="14">
        <f t="shared" si="20"/>
        <v>106932.23154856657</v>
      </c>
      <c r="AE34" s="14">
        <f t="shared" si="1"/>
        <v>0</v>
      </c>
      <c r="AF34" s="14">
        <f>L34/(1+0.07)^31</f>
        <v>1686856.43002869</v>
      </c>
      <c r="AG34" s="14">
        <f t="shared" si="21"/>
        <v>1719818.3444737876</v>
      </c>
      <c r="AH34" s="14">
        <f t="shared" si="22"/>
        <v>1720399.327256294</v>
      </c>
      <c r="AL34" s="12"/>
    </row>
    <row r="35" spans="1:252" x14ac:dyDescent="0.25">
      <c r="B35" s="12">
        <f t="shared" si="0"/>
        <v>2051</v>
      </c>
      <c r="C35" s="17">
        <f t="shared" si="31"/>
        <v>217771.89721608727</v>
      </c>
      <c r="D35" s="17">
        <f t="shared" si="2"/>
        <v>9898.7226007312383</v>
      </c>
      <c r="E35" s="14">
        <f t="shared" si="3"/>
        <v>5143376.2633399516</v>
      </c>
      <c r="F35" s="14">
        <f t="shared" si="4"/>
        <v>3331321.4547109567</v>
      </c>
      <c r="G35" s="14">
        <f t="shared" si="23"/>
        <v>5655041.7048948407</v>
      </c>
      <c r="H35" s="14">
        <f>SUM(((D35*(33.4+60))/(6))*((10180/453)/(2203))*54)/(1+0.03)^32</f>
        <v>32961.914445097646</v>
      </c>
      <c r="I35" s="14">
        <f t="shared" si="24"/>
        <v>13558.659069252008</v>
      </c>
      <c r="J35" s="14">
        <f t="shared" si="5"/>
        <v>262.92127039264625</v>
      </c>
      <c r="K35" s="14">
        <f t="shared" si="6"/>
        <v>8264.1398886911957</v>
      </c>
      <c r="L35" s="14">
        <f t="shared" si="27"/>
        <v>14151825.143174084</v>
      </c>
      <c r="M35" s="17">
        <f t="shared" si="30"/>
        <v>30106.189924983733</v>
      </c>
      <c r="N35" s="17">
        <f t="shared" si="7"/>
        <v>1368.4631784083515</v>
      </c>
      <c r="O35" s="17">
        <f t="shared" si="8"/>
        <v>68423.158920417569</v>
      </c>
      <c r="P35" s="14">
        <f t="shared" si="9"/>
        <v>105782.20369096556</v>
      </c>
      <c r="Q35" s="14">
        <f t="shared" si="10"/>
        <v>1003.4455955981382</v>
      </c>
      <c r="R35" s="14">
        <f t="shared" si="11"/>
        <v>19.458206701492252</v>
      </c>
      <c r="S35" s="14">
        <f t="shared" si="12"/>
        <v>611.61024334035051</v>
      </c>
      <c r="T35" s="14">
        <f t="shared" si="13"/>
        <v>6281.7508738221277</v>
      </c>
      <c r="U35" s="14">
        <f t="shared" si="14"/>
        <v>1634.5140456399808</v>
      </c>
      <c r="V35" s="14">
        <f>SUM(T35/(1+0.03)^32)</f>
        <v>2439.4365035273777</v>
      </c>
      <c r="W35" s="14">
        <f t="shared" si="15"/>
        <v>1246.9629394431715</v>
      </c>
      <c r="X35" s="14">
        <f t="shared" si="16"/>
        <v>2691.247089874385</v>
      </c>
      <c r="Y35" s="14">
        <f t="shared" si="17"/>
        <v>949.72875284653333</v>
      </c>
      <c r="Z35" s="14">
        <f t="shared" si="18"/>
        <v>337.77058867853799</v>
      </c>
      <c r="AA35" s="14">
        <f t="shared" si="19"/>
        <v>3978.746431399456</v>
      </c>
      <c r="AB35" s="14">
        <f>SUM(AA35)/(1+0.07)^29</f>
        <v>559.26379998280254</v>
      </c>
      <c r="AC35" s="14">
        <f t="shared" si="20"/>
        <v>110027.86693391891</v>
      </c>
      <c r="AE35" s="14">
        <f t="shared" si="1"/>
        <v>0</v>
      </c>
      <c r="AF35" s="14">
        <f>L35/(1+0.07)^32</f>
        <v>1623796.3765696737</v>
      </c>
      <c r="AG35" s="14">
        <f t="shared" si="21"/>
        <v>1656758.2910147712</v>
      </c>
      <c r="AH35" s="14">
        <f t="shared" si="22"/>
        <v>1657317.5548147541</v>
      </c>
      <c r="AL35" s="12"/>
    </row>
    <row r="36" spans="1:252" ht="15.75" thickBot="1" x14ac:dyDescent="0.3">
      <c r="B36" s="18">
        <f t="shared" si="0"/>
        <v>2052</v>
      </c>
      <c r="C36" s="19">
        <f t="shared" si="31"/>
        <v>224305.05413256987</v>
      </c>
      <c r="D36" s="19">
        <f t="shared" si="2"/>
        <v>10195.684278753177</v>
      </c>
      <c r="E36" s="20">
        <f t="shared" si="3"/>
        <v>5297677.5512401508</v>
      </c>
      <c r="F36" s="20">
        <f t="shared" si="4"/>
        <v>3431261.0983522846</v>
      </c>
      <c r="G36" s="20">
        <f t="shared" si="23"/>
        <v>5824692.9560416844</v>
      </c>
      <c r="H36" s="20">
        <f>SUM(((D36*(33.4+60))/(6))*((10180/453)/(2203))*54)/(1+0.03)^33</f>
        <v>32961.914445097653</v>
      </c>
      <c r="I36" s="20">
        <f t="shared" si="24"/>
        <v>13965.418841329571</v>
      </c>
      <c r="J36" s="20">
        <f t="shared" si="5"/>
        <v>270.80890850442574</v>
      </c>
      <c r="K36" s="20">
        <f t="shared" si="6"/>
        <v>8512.0640853519344</v>
      </c>
      <c r="L36" s="20">
        <f t="shared" si="27"/>
        <v>14576379.897469305</v>
      </c>
      <c r="M36" s="19">
        <f t="shared" si="30"/>
        <v>31009.375622733245</v>
      </c>
      <c r="N36" s="19">
        <f t="shared" si="7"/>
        <v>1409.5170737606022</v>
      </c>
      <c r="O36" s="19">
        <f t="shared" si="8"/>
        <v>70475.853688030111</v>
      </c>
      <c r="P36" s="20">
        <f t="shared" si="9"/>
        <v>108955.66980169454</v>
      </c>
      <c r="Q36" s="20">
        <f t="shared" si="10"/>
        <v>1033.5489634660826</v>
      </c>
      <c r="R36" s="20">
        <f t="shared" si="11"/>
        <v>20.041952902537023</v>
      </c>
      <c r="S36" s="20">
        <f t="shared" si="12"/>
        <v>629.95855064056116</v>
      </c>
      <c r="T36" s="20">
        <f t="shared" si="13"/>
        <v>6470.203400036793</v>
      </c>
      <c r="U36" s="20">
        <f t="shared" si="14"/>
        <v>1683.5494670091807</v>
      </c>
      <c r="V36" s="20">
        <f>SUM(T36/(1+0.03)^33)</f>
        <v>2439.4365035273781</v>
      </c>
      <c r="W36" s="20">
        <f t="shared" si="15"/>
        <v>1284.3718276264669</v>
      </c>
      <c r="X36" s="20">
        <f t="shared" si="16"/>
        <v>2771.9845025706168</v>
      </c>
      <c r="Y36" s="20">
        <f t="shared" si="17"/>
        <v>978.22061543192945</v>
      </c>
      <c r="Z36" s="20">
        <f t="shared" si="18"/>
        <v>347.90370633889421</v>
      </c>
      <c r="AA36" s="20">
        <f t="shared" si="19"/>
        <v>4098.1088243414406</v>
      </c>
      <c r="AB36" s="20">
        <f>SUM(AA36)/(1+0.07)^30</f>
        <v>538.35674203952033</v>
      </c>
      <c r="AC36" s="20">
        <f t="shared" si="20"/>
        <v>113217.83487488792</v>
      </c>
      <c r="AD36" s="20">
        <v>493125</v>
      </c>
      <c r="AE36" s="20">
        <f>AD36/(1+0.07)^33</f>
        <v>52880.110858849112</v>
      </c>
      <c r="AF36" s="20">
        <f>L36/(1+0.07)^33</f>
        <v>1563093.7082866949</v>
      </c>
      <c r="AG36" s="20">
        <f t="shared" si="21"/>
        <v>1596055.6227317925</v>
      </c>
      <c r="AH36" s="20">
        <f t="shared" si="22"/>
        <v>1596593.9794738321</v>
      </c>
      <c r="AL36" s="12"/>
    </row>
    <row r="37" spans="1:252" s="21" customFormat="1" ht="15.75" thickTop="1" x14ac:dyDescent="0.25">
      <c r="A37" s="1"/>
      <c r="B37" s="12"/>
      <c r="C37" s="12"/>
      <c r="D37" s="13"/>
      <c r="E37" s="14"/>
      <c r="F37" s="14"/>
      <c r="G37" s="14"/>
      <c r="H37" s="14"/>
      <c r="I37" s="14"/>
      <c r="J37" s="14"/>
      <c r="K37" s="14"/>
      <c r="L37" s="14">
        <f>SUM(L7:L36)</f>
        <v>247288535.12829134</v>
      </c>
      <c r="M37" s="13"/>
      <c r="N37" s="13"/>
      <c r="O37" s="17">
        <f>SUM(O7:O36)</f>
        <v>1346460.3978927918</v>
      </c>
      <c r="P37" s="14"/>
      <c r="Q37" s="14"/>
      <c r="R37" s="14"/>
      <c r="S37" s="14"/>
      <c r="T37" s="14"/>
      <c r="U37" s="14"/>
      <c r="V37" s="14"/>
      <c r="W37" s="14"/>
      <c r="X37" s="14"/>
      <c r="Y37" s="14"/>
      <c r="Z37" s="14"/>
      <c r="AA37" s="14"/>
      <c r="AB37" s="14"/>
      <c r="AC37" s="14">
        <f>SUM(AC7:AC36)</f>
        <v>2200979.9124035533</v>
      </c>
      <c r="AD37" s="14"/>
      <c r="AE37" s="14">
        <f>SUM(AE5:AE6)</f>
        <v>28678334.164596669</v>
      </c>
      <c r="AF37" s="14">
        <f>SUM(AF5:AF36)</f>
        <v>32666565.018650666</v>
      </c>
      <c r="AG37" s="14">
        <f>SUM(AG5:AG36)</f>
        <v>33445428.598787334</v>
      </c>
      <c r="AH37" s="14">
        <f>SUM(AH7:AH36)</f>
        <v>62150614.296094127</v>
      </c>
      <c r="AI37" s="12"/>
      <c r="AJ37" s="15"/>
      <c r="AK37" s="12"/>
      <c r="AL37" s="12"/>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row>
    <row r="38" spans="1:252" s="1" customFormat="1" x14ac:dyDescent="0.25">
      <c r="D38" s="2"/>
      <c r="E38" s="3"/>
      <c r="F38" s="3"/>
      <c r="G38" s="3"/>
      <c r="H38" s="3"/>
      <c r="I38" s="3"/>
      <c r="J38" s="3"/>
      <c r="K38" s="3"/>
      <c r="M38" s="2"/>
      <c r="N38" s="2"/>
      <c r="O38" s="2"/>
      <c r="AD38" s="3"/>
      <c r="AE38" s="3"/>
      <c r="AF38" s="3"/>
      <c r="AG38" s="3"/>
      <c r="AH38" s="3"/>
      <c r="AJ38" s="4"/>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row>
    <row r="39" spans="1:252" s="1" customFormat="1" x14ac:dyDescent="0.25">
      <c r="D39" s="2"/>
      <c r="E39" s="3"/>
      <c r="F39" s="3"/>
      <c r="G39" s="3"/>
      <c r="H39" s="3"/>
      <c r="I39" s="3"/>
      <c r="J39" s="3"/>
      <c r="K39" s="3"/>
      <c r="M39" s="2"/>
      <c r="N39" s="2"/>
      <c r="O39" s="2"/>
      <c r="AD39" s="3"/>
      <c r="AE39" s="3"/>
      <c r="AF39" s="3"/>
      <c r="AG39" s="3"/>
      <c r="AH39" s="3"/>
      <c r="AJ39" s="4"/>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row>
    <row r="40" spans="1:252" s="1" customFormat="1" x14ac:dyDescent="0.25">
      <c r="D40" s="2"/>
      <c r="E40" s="3"/>
      <c r="F40" s="3"/>
      <c r="G40" s="3"/>
      <c r="H40" s="3"/>
      <c r="I40" s="3"/>
      <c r="J40" s="3"/>
      <c r="K40" s="3"/>
      <c r="M40" s="2"/>
      <c r="N40" s="2"/>
      <c r="O40" s="2"/>
      <c r="AD40" s="3" t="s">
        <v>39</v>
      </c>
      <c r="AE40" s="3">
        <f>SUM(0.25*AE37)/(1+0.07)^33</f>
        <v>768828.13174701738</v>
      </c>
      <c r="AF40" s="3"/>
      <c r="AG40" s="3"/>
      <c r="AH40" s="3"/>
      <c r="AJ40" s="4"/>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row>
    <row r="41" spans="1:252" s="36" customFormat="1" x14ac:dyDescent="0.25">
      <c r="D41" s="37"/>
      <c r="E41" s="38"/>
      <c r="F41" s="38"/>
      <c r="G41" s="38"/>
      <c r="H41" s="38"/>
      <c r="I41" s="38"/>
      <c r="J41" s="38"/>
      <c r="K41" s="38"/>
      <c r="M41" s="37"/>
      <c r="N41" s="37"/>
      <c r="O41" s="37"/>
      <c r="AD41" s="38"/>
      <c r="AE41" s="38"/>
      <c r="AF41" s="38"/>
      <c r="AG41" s="38"/>
      <c r="AH41" s="38"/>
      <c r="AJ41" s="39"/>
    </row>
    <row r="42" spans="1:252" s="36" customFormat="1" x14ac:dyDescent="0.25">
      <c r="D42" s="37"/>
      <c r="E42" s="38"/>
      <c r="F42" s="38"/>
      <c r="G42" s="38"/>
      <c r="H42" s="38"/>
      <c r="I42" s="38"/>
      <c r="J42" s="38"/>
      <c r="K42" s="38"/>
      <c r="M42" s="37"/>
      <c r="N42" s="37"/>
      <c r="O42" s="37"/>
      <c r="AD42" s="38"/>
      <c r="AE42" s="38"/>
      <c r="AF42" s="38"/>
      <c r="AG42" s="38"/>
      <c r="AH42" s="38"/>
      <c r="AJ42" s="39"/>
    </row>
    <row r="43" spans="1:252" s="36" customFormat="1" x14ac:dyDescent="0.25">
      <c r="D43" s="37"/>
      <c r="E43" s="38"/>
      <c r="F43" s="38"/>
      <c r="G43" s="38"/>
      <c r="H43" s="38"/>
      <c r="I43" s="38"/>
      <c r="J43" s="38"/>
      <c r="K43" s="38"/>
      <c r="M43" s="37"/>
      <c r="N43" s="37"/>
      <c r="O43" s="37"/>
      <c r="AD43" s="38"/>
      <c r="AE43" s="38"/>
      <c r="AF43" s="38"/>
      <c r="AG43" s="38"/>
      <c r="AH43" s="38"/>
      <c r="AJ43" s="39"/>
    </row>
    <row r="44" spans="1:252" s="36" customFormat="1" x14ac:dyDescent="0.25">
      <c r="D44" s="37"/>
      <c r="E44" s="38"/>
      <c r="F44" s="38"/>
      <c r="G44" s="38"/>
      <c r="H44" s="38"/>
      <c r="I44" s="38"/>
      <c r="J44" s="38"/>
      <c r="K44" s="38"/>
      <c r="M44" s="37"/>
      <c r="N44" s="37"/>
      <c r="O44" s="37"/>
      <c r="AD44" s="38"/>
      <c r="AE44" s="38"/>
      <c r="AF44" s="38"/>
      <c r="AG44" s="38"/>
      <c r="AH44" s="38"/>
      <c r="AJ44" s="39"/>
    </row>
    <row r="45" spans="1:252" s="36" customFormat="1" x14ac:dyDescent="0.25">
      <c r="D45" s="37"/>
      <c r="E45" s="38"/>
      <c r="F45" s="38"/>
      <c r="G45" s="38"/>
      <c r="H45" s="38"/>
      <c r="I45" s="38"/>
      <c r="J45" s="38"/>
      <c r="K45" s="38"/>
      <c r="M45" s="37"/>
      <c r="N45" s="37"/>
      <c r="O45" s="37"/>
      <c r="AD45" s="38"/>
      <c r="AE45" s="38"/>
      <c r="AF45" s="38"/>
      <c r="AG45" s="38"/>
      <c r="AH45" s="38"/>
      <c r="AJ45" s="39"/>
    </row>
    <row r="46" spans="1:252" s="36" customFormat="1" x14ac:dyDescent="0.25">
      <c r="D46" s="37"/>
      <c r="E46" s="38"/>
      <c r="F46" s="38"/>
      <c r="G46" s="38"/>
      <c r="H46" s="38"/>
      <c r="I46" s="38"/>
      <c r="J46" s="38"/>
      <c r="K46" s="38"/>
      <c r="M46" s="37"/>
      <c r="N46" s="37"/>
      <c r="O46" s="37"/>
      <c r="AD46" s="38"/>
      <c r="AE46" s="38"/>
      <c r="AF46" s="38"/>
      <c r="AG46" s="38"/>
      <c r="AH46" s="38"/>
      <c r="AJ46" s="39"/>
    </row>
    <row r="47" spans="1:252" s="36" customFormat="1" x14ac:dyDescent="0.25">
      <c r="D47" s="37"/>
      <c r="E47" s="38"/>
      <c r="F47" s="38"/>
      <c r="G47" s="38"/>
      <c r="H47" s="38"/>
      <c r="I47" s="38"/>
      <c r="J47" s="38"/>
      <c r="K47" s="38"/>
      <c r="M47" s="37"/>
      <c r="N47" s="37"/>
      <c r="O47" s="37"/>
      <c r="AD47" s="38"/>
      <c r="AE47" s="38"/>
      <c r="AF47" s="38"/>
      <c r="AG47" s="38"/>
      <c r="AH47" s="38"/>
      <c r="AJ47" s="39"/>
    </row>
    <row r="48" spans="1:252" s="36" customFormat="1" x14ac:dyDescent="0.25">
      <c r="D48" s="37"/>
      <c r="E48" s="38"/>
      <c r="F48" s="38"/>
      <c r="G48" s="38"/>
      <c r="H48" s="38"/>
      <c r="I48" s="38"/>
      <c r="J48" s="38"/>
      <c r="K48" s="38"/>
      <c r="M48" s="37"/>
      <c r="N48" s="37"/>
      <c r="O48" s="37"/>
      <c r="AD48" s="38"/>
      <c r="AE48" s="38"/>
      <c r="AF48" s="38"/>
      <c r="AG48" s="38"/>
      <c r="AH48" s="38"/>
      <c r="AJ48" s="39"/>
    </row>
    <row r="49" spans="4:36" s="36" customFormat="1" x14ac:dyDescent="0.25">
      <c r="D49" s="37"/>
      <c r="E49" s="38"/>
      <c r="F49" s="38"/>
      <c r="G49" s="38"/>
      <c r="H49" s="38"/>
      <c r="I49" s="38"/>
      <c r="J49" s="38"/>
      <c r="K49" s="38"/>
      <c r="M49" s="37"/>
      <c r="N49" s="37"/>
      <c r="O49" s="37"/>
      <c r="AD49" s="38"/>
      <c r="AE49" s="38"/>
      <c r="AF49" s="38"/>
      <c r="AG49" s="38"/>
      <c r="AH49" s="38"/>
      <c r="AJ49" s="39"/>
    </row>
    <row r="50" spans="4:36" s="36" customFormat="1" x14ac:dyDescent="0.25">
      <c r="D50" s="37"/>
      <c r="E50" s="38"/>
      <c r="F50" s="38"/>
      <c r="G50" s="38"/>
      <c r="H50" s="38"/>
      <c r="I50" s="38"/>
      <c r="J50" s="38"/>
      <c r="K50" s="38"/>
      <c r="M50" s="37"/>
      <c r="N50" s="37"/>
      <c r="O50" s="37"/>
      <c r="AD50" s="38"/>
      <c r="AE50" s="38"/>
      <c r="AF50" s="38"/>
      <c r="AG50" s="38"/>
      <c r="AH50" s="38"/>
      <c r="AJ50" s="39"/>
    </row>
    <row r="51" spans="4:36" s="36" customFormat="1" x14ac:dyDescent="0.25">
      <c r="D51" s="37"/>
      <c r="E51" s="38"/>
      <c r="F51" s="38"/>
      <c r="G51" s="38"/>
      <c r="H51" s="38"/>
      <c r="I51" s="38"/>
      <c r="J51" s="38"/>
      <c r="K51" s="38"/>
      <c r="M51" s="37"/>
      <c r="N51" s="37"/>
      <c r="O51" s="37"/>
      <c r="AD51" s="38"/>
      <c r="AE51" s="38"/>
      <c r="AF51" s="38"/>
      <c r="AG51" s="38"/>
      <c r="AH51" s="38"/>
      <c r="AJ51" s="39"/>
    </row>
    <row r="52" spans="4:36" s="36" customFormat="1" x14ac:dyDescent="0.25">
      <c r="D52" s="37"/>
      <c r="E52" s="38"/>
      <c r="F52" s="38"/>
      <c r="G52" s="38"/>
      <c r="H52" s="38"/>
      <c r="I52" s="38"/>
      <c r="J52" s="38"/>
      <c r="K52" s="38"/>
      <c r="M52" s="37"/>
      <c r="N52" s="37"/>
      <c r="O52" s="37"/>
      <c r="AD52" s="38"/>
      <c r="AE52" s="38"/>
      <c r="AF52" s="38"/>
      <c r="AG52" s="38"/>
      <c r="AH52" s="38"/>
      <c r="AJ52" s="39"/>
    </row>
    <row r="53" spans="4:36" s="36" customFormat="1" x14ac:dyDescent="0.25">
      <c r="D53" s="37"/>
      <c r="E53" s="38"/>
      <c r="F53" s="38"/>
      <c r="G53" s="38"/>
      <c r="H53" s="38"/>
      <c r="I53" s="38"/>
      <c r="J53" s="38"/>
      <c r="K53" s="38"/>
      <c r="M53" s="37"/>
      <c r="N53" s="37"/>
      <c r="O53" s="37"/>
      <c r="AD53" s="38"/>
      <c r="AE53" s="38"/>
      <c r="AF53" s="38"/>
      <c r="AG53" s="38"/>
      <c r="AH53" s="38"/>
      <c r="AJ53" s="39"/>
    </row>
    <row r="54" spans="4:36" s="36" customFormat="1" x14ac:dyDescent="0.25">
      <c r="D54" s="37"/>
      <c r="E54" s="38"/>
      <c r="F54" s="38"/>
      <c r="G54" s="38"/>
      <c r="H54" s="38"/>
      <c r="I54" s="38"/>
      <c r="J54" s="38"/>
      <c r="K54" s="38"/>
      <c r="M54" s="37"/>
      <c r="N54" s="37"/>
      <c r="O54" s="37"/>
      <c r="AD54" s="38"/>
      <c r="AE54" s="38"/>
      <c r="AF54" s="38"/>
      <c r="AG54" s="38"/>
      <c r="AH54" s="38"/>
      <c r="AJ54" s="39"/>
    </row>
    <row r="55" spans="4:36" s="36" customFormat="1" x14ac:dyDescent="0.25">
      <c r="D55" s="37"/>
      <c r="E55" s="38"/>
      <c r="F55" s="38"/>
      <c r="G55" s="38"/>
      <c r="H55" s="38"/>
      <c r="I55" s="38"/>
      <c r="J55" s="38"/>
      <c r="K55" s="38"/>
      <c r="M55" s="37"/>
      <c r="N55" s="37"/>
      <c r="O55" s="37"/>
      <c r="AD55" s="38"/>
      <c r="AE55" s="38"/>
      <c r="AF55" s="38"/>
      <c r="AG55" s="38"/>
      <c r="AH55" s="38"/>
      <c r="AJ55" s="39"/>
    </row>
    <row r="56" spans="4:36" s="36" customFormat="1" x14ac:dyDescent="0.25">
      <c r="D56" s="37"/>
      <c r="E56" s="38"/>
      <c r="F56" s="38"/>
      <c r="G56" s="38"/>
      <c r="H56" s="38"/>
      <c r="I56" s="38"/>
      <c r="J56" s="38"/>
      <c r="K56" s="38"/>
      <c r="M56" s="37"/>
      <c r="N56" s="37"/>
      <c r="O56" s="37"/>
      <c r="AD56" s="38"/>
      <c r="AE56" s="38"/>
      <c r="AF56" s="38"/>
      <c r="AG56" s="38"/>
      <c r="AH56" s="38"/>
      <c r="AJ56" s="39"/>
    </row>
    <row r="57" spans="4:36" s="36" customFormat="1" x14ac:dyDescent="0.25">
      <c r="D57" s="37"/>
      <c r="E57" s="38"/>
      <c r="F57" s="38"/>
      <c r="G57" s="38"/>
      <c r="H57" s="38"/>
      <c r="I57" s="38"/>
      <c r="J57" s="38"/>
      <c r="K57" s="38"/>
      <c r="M57" s="37"/>
      <c r="N57" s="37"/>
      <c r="O57" s="37"/>
      <c r="AD57" s="38"/>
      <c r="AE57" s="38"/>
      <c r="AF57" s="38"/>
      <c r="AG57" s="38"/>
      <c r="AH57" s="38"/>
      <c r="AJ57" s="39"/>
    </row>
    <row r="58" spans="4:36" s="36" customFormat="1" x14ac:dyDescent="0.25">
      <c r="D58" s="37"/>
      <c r="E58" s="38"/>
      <c r="F58" s="38"/>
      <c r="G58" s="38"/>
      <c r="H58" s="38"/>
      <c r="I58" s="38"/>
      <c r="J58" s="38"/>
      <c r="K58" s="38"/>
      <c r="M58" s="37"/>
      <c r="N58" s="37"/>
      <c r="O58" s="37"/>
      <c r="AD58" s="38"/>
      <c r="AE58" s="38"/>
      <c r="AF58" s="38"/>
      <c r="AG58" s="38"/>
      <c r="AH58" s="38"/>
      <c r="AJ58" s="39"/>
    </row>
    <row r="59" spans="4:36" s="36" customFormat="1" x14ac:dyDescent="0.25">
      <c r="D59" s="37"/>
      <c r="E59" s="38"/>
      <c r="F59" s="38"/>
      <c r="G59" s="38"/>
      <c r="H59" s="38"/>
      <c r="I59" s="38"/>
      <c r="J59" s="38"/>
      <c r="K59" s="38"/>
      <c r="M59" s="37"/>
      <c r="N59" s="37"/>
      <c r="O59" s="37"/>
      <c r="AD59" s="38"/>
      <c r="AE59" s="38"/>
      <c r="AF59" s="38"/>
      <c r="AG59" s="38"/>
      <c r="AH59" s="38"/>
      <c r="AJ59" s="39"/>
    </row>
    <row r="60" spans="4:36" s="36" customFormat="1" x14ac:dyDescent="0.25">
      <c r="D60" s="37"/>
      <c r="E60" s="38"/>
      <c r="F60" s="38"/>
      <c r="G60" s="38"/>
      <c r="H60" s="38"/>
      <c r="I60" s="38"/>
      <c r="J60" s="38"/>
      <c r="K60" s="38"/>
      <c r="M60" s="37"/>
      <c r="N60" s="37"/>
      <c r="O60" s="37"/>
      <c r="AD60" s="38"/>
      <c r="AE60" s="38"/>
      <c r="AF60" s="38"/>
      <c r="AG60" s="38"/>
      <c r="AH60" s="38"/>
      <c r="AJ60" s="39"/>
    </row>
    <row r="61" spans="4:36" s="36" customFormat="1" x14ac:dyDescent="0.25">
      <c r="D61" s="37"/>
      <c r="E61" s="38"/>
      <c r="F61" s="38"/>
      <c r="G61" s="38"/>
      <c r="H61" s="38"/>
      <c r="I61" s="38"/>
      <c r="J61" s="38"/>
      <c r="K61" s="38"/>
      <c r="M61" s="37"/>
      <c r="N61" s="37"/>
      <c r="O61" s="37"/>
      <c r="AD61" s="38"/>
      <c r="AE61" s="38"/>
      <c r="AF61" s="38"/>
      <c r="AG61" s="38"/>
      <c r="AH61" s="38"/>
      <c r="AJ61" s="39"/>
    </row>
    <row r="62" spans="4:36" s="36" customFormat="1" x14ac:dyDescent="0.25">
      <c r="D62" s="37"/>
      <c r="E62" s="38"/>
      <c r="F62" s="38"/>
      <c r="G62" s="38"/>
      <c r="H62" s="38"/>
      <c r="I62" s="38"/>
      <c r="J62" s="38"/>
      <c r="K62" s="38"/>
      <c r="M62" s="37"/>
      <c r="N62" s="37"/>
      <c r="O62" s="37"/>
      <c r="AD62" s="38"/>
      <c r="AE62" s="38"/>
      <c r="AF62" s="38"/>
      <c r="AG62" s="38"/>
      <c r="AH62" s="38"/>
      <c r="AJ62" s="39"/>
    </row>
    <row r="63" spans="4:36" s="36" customFormat="1" x14ac:dyDescent="0.25">
      <c r="D63" s="37"/>
      <c r="E63" s="38"/>
      <c r="F63" s="38"/>
      <c r="G63" s="38"/>
      <c r="H63" s="38"/>
      <c r="I63" s="38"/>
      <c r="J63" s="38"/>
      <c r="K63" s="38"/>
      <c r="M63" s="37"/>
      <c r="N63" s="37"/>
      <c r="O63" s="37"/>
      <c r="AD63" s="38"/>
      <c r="AE63" s="38"/>
      <c r="AF63" s="38"/>
      <c r="AG63" s="38"/>
      <c r="AH63" s="38"/>
      <c r="AJ63" s="39"/>
    </row>
    <row r="64" spans="4:36" s="36" customFormat="1" x14ac:dyDescent="0.25">
      <c r="D64" s="37"/>
      <c r="E64" s="38"/>
      <c r="F64" s="38"/>
      <c r="G64" s="38"/>
      <c r="H64" s="38"/>
      <c r="I64" s="38"/>
      <c r="J64" s="38"/>
      <c r="K64" s="38"/>
      <c r="M64" s="37"/>
      <c r="N64" s="37"/>
      <c r="O64" s="37"/>
      <c r="AD64" s="38"/>
      <c r="AE64" s="38"/>
      <c r="AF64" s="38"/>
      <c r="AG64" s="38"/>
      <c r="AH64" s="38"/>
      <c r="AJ64" s="39"/>
    </row>
    <row r="65" spans="4:36" s="36" customFormat="1" x14ac:dyDescent="0.25">
      <c r="D65" s="37"/>
      <c r="E65" s="38"/>
      <c r="F65" s="38"/>
      <c r="G65" s="38"/>
      <c r="H65" s="38"/>
      <c r="I65" s="38"/>
      <c r="J65" s="38"/>
      <c r="K65" s="38"/>
      <c r="M65" s="37"/>
      <c r="N65" s="37"/>
      <c r="O65" s="37"/>
      <c r="AD65" s="38"/>
      <c r="AE65" s="38"/>
      <c r="AF65" s="38"/>
      <c r="AG65" s="38"/>
      <c r="AH65" s="38"/>
      <c r="AJ65" s="39"/>
    </row>
    <row r="66" spans="4:36" s="36" customFormat="1" x14ac:dyDescent="0.25">
      <c r="D66" s="37"/>
      <c r="E66" s="38"/>
      <c r="F66" s="38"/>
      <c r="G66" s="38"/>
      <c r="H66" s="38"/>
      <c r="I66" s="38"/>
      <c r="J66" s="38"/>
      <c r="K66" s="38"/>
      <c r="M66" s="37"/>
      <c r="N66" s="37"/>
      <c r="O66" s="37"/>
      <c r="AD66" s="38"/>
      <c r="AE66" s="38"/>
      <c r="AF66" s="38"/>
      <c r="AG66" s="38"/>
      <c r="AH66" s="38"/>
      <c r="AJ66" s="39"/>
    </row>
    <row r="67" spans="4:36" s="36" customFormat="1" x14ac:dyDescent="0.25">
      <c r="D67" s="37"/>
      <c r="E67" s="38"/>
      <c r="F67" s="38"/>
      <c r="G67" s="38"/>
      <c r="H67" s="38"/>
      <c r="I67" s="38"/>
      <c r="J67" s="38"/>
      <c r="K67" s="38"/>
      <c r="M67" s="37"/>
      <c r="N67" s="37"/>
      <c r="O67" s="37"/>
      <c r="AD67" s="38"/>
      <c r="AE67" s="38"/>
      <c r="AF67" s="38"/>
      <c r="AG67" s="38"/>
      <c r="AH67" s="38"/>
      <c r="AJ67" s="39"/>
    </row>
    <row r="68" spans="4:36" s="36" customFormat="1" x14ac:dyDescent="0.25">
      <c r="D68" s="37"/>
      <c r="E68" s="38"/>
      <c r="F68" s="38"/>
      <c r="G68" s="38"/>
      <c r="H68" s="38"/>
      <c r="I68" s="38"/>
      <c r="J68" s="38"/>
      <c r="K68" s="38"/>
      <c r="M68" s="37"/>
      <c r="N68" s="37"/>
      <c r="O68" s="37"/>
      <c r="AD68" s="38"/>
      <c r="AE68" s="38"/>
      <c r="AF68" s="38"/>
      <c r="AG68" s="38"/>
      <c r="AH68" s="38"/>
      <c r="AJ68" s="39"/>
    </row>
    <row r="69" spans="4:36" s="36" customFormat="1" x14ac:dyDescent="0.25">
      <c r="D69" s="37"/>
      <c r="E69" s="38"/>
      <c r="F69" s="38"/>
      <c r="G69" s="38"/>
      <c r="H69" s="38"/>
      <c r="I69" s="38"/>
      <c r="J69" s="38"/>
      <c r="K69" s="38"/>
      <c r="M69" s="37"/>
      <c r="N69" s="37"/>
      <c r="O69" s="37"/>
      <c r="AD69" s="38"/>
      <c r="AE69" s="38"/>
      <c r="AF69" s="38"/>
      <c r="AG69" s="38"/>
      <c r="AH69" s="38"/>
      <c r="AJ69" s="39"/>
    </row>
    <row r="70" spans="4:36" s="36" customFormat="1" x14ac:dyDescent="0.25">
      <c r="D70" s="37"/>
      <c r="E70" s="38"/>
      <c r="F70" s="38"/>
      <c r="G70" s="38"/>
      <c r="H70" s="38"/>
      <c r="I70" s="38"/>
      <c r="J70" s="38"/>
      <c r="K70" s="38"/>
      <c r="M70" s="37"/>
      <c r="N70" s="37"/>
      <c r="O70" s="37"/>
      <c r="AD70" s="38"/>
      <c r="AE70" s="38"/>
      <c r="AF70" s="38"/>
      <c r="AG70" s="38"/>
      <c r="AH70" s="38"/>
      <c r="AJ70" s="39"/>
    </row>
    <row r="71" spans="4:36" s="36" customFormat="1" x14ac:dyDescent="0.25">
      <c r="D71" s="37"/>
      <c r="E71" s="38"/>
      <c r="F71" s="38"/>
      <c r="G71" s="38"/>
      <c r="H71" s="38"/>
      <c r="I71" s="38"/>
      <c r="J71" s="38"/>
      <c r="K71" s="38"/>
      <c r="M71" s="37"/>
      <c r="N71" s="37"/>
      <c r="O71" s="37"/>
      <c r="AD71" s="38"/>
      <c r="AE71" s="38"/>
      <c r="AF71" s="38"/>
      <c r="AG71" s="38"/>
      <c r="AH71" s="38"/>
      <c r="AJ71" s="39"/>
    </row>
    <row r="72" spans="4:36" s="36" customFormat="1" x14ac:dyDescent="0.25">
      <c r="D72" s="37"/>
      <c r="E72" s="38"/>
      <c r="F72" s="38"/>
      <c r="G72" s="38"/>
      <c r="H72" s="38"/>
      <c r="I72" s="38"/>
      <c r="J72" s="38"/>
      <c r="K72" s="38"/>
      <c r="M72" s="37"/>
      <c r="N72" s="37"/>
      <c r="O72" s="37"/>
      <c r="AD72" s="38"/>
      <c r="AE72" s="38"/>
      <c r="AF72" s="38"/>
      <c r="AG72" s="38"/>
      <c r="AH72" s="38"/>
      <c r="AJ72" s="39"/>
    </row>
    <row r="73" spans="4:36" s="36" customFormat="1" x14ac:dyDescent="0.25">
      <c r="D73" s="37"/>
      <c r="E73" s="38"/>
      <c r="F73" s="38"/>
      <c r="G73" s="38"/>
      <c r="H73" s="38"/>
      <c r="I73" s="38"/>
      <c r="J73" s="38"/>
      <c r="K73" s="38"/>
      <c r="M73" s="37"/>
      <c r="N73" s="37"/>
      <c r="O73" s="37"/>
      <c r="AD73" s="38"/>
      <c r="AE73" s="38"/>
      <c r="AF73" s="38"/>
      <c r="AG73" s="38"/>
      <c r="AH73" s="38"/>
      <c r="AJ73" s="39"/>
    </row>
    <row r="74" spans="4:36" s="36" customFormat="1" x14ac:dyDescent="0.25">
      <c r="D74" s="37"/>
      <c r="E74" s="38"/>
      <c r="F74" s="38"/>
      <c r="G74" s="38"/>
      <c r="H74" s="38"/>
      <c r="I74" s="38"/>
      <c r="J74" s="38"/>
      <c r="K74" s="38"/>
      <c r="M74" s="37"/>
      <c r="N74" s="37"/>
      <c r="O74" s="37"/>
      <c r="AD74" s="38"/>
      <c r="AE74" s="38"/>
      <c r="AF74" s="38"/>
      <c r="AG74" s="38"/>
      <c r="AH74" s="38"/>
      <c r="AJ74" s="39"/>
    </row>
    <row r="75" spans="4:36" s="36" customFormat="1" x14ac:dyDescent="0.25">
      <c r="D75" s="37"/>
      <c r="E75" s="38"/>
      <c r="F75" s="38"/>
      <c r="G75" s="38"/>
      <c r="H75" s="38"/>
      <c r="I75" s="38"/>
      <c r="J75" s="38"/>
      <c r="K75" s="38"/>
      <c r="M75" s="37"/>
      <c r="N75" s="37"/>
      <c r="O75" s="37"/>
      <c r="AD75" s="38"/>
      <c r="AE75" s="38"/>
      <c r="AF75" s="38"/>
      <c r="AG75" s="38"/>
      <c r="AH75" s="38"/>
      <c r="AJ75" s="39"/>
    </row>
    <row r="76" spans="4:36" s="36" customFormat="1" x14ac:dyDescent="0.25">
      <c r="D76" s="37"/>
      <c r="E76" s="38"/>
      <c r="F76" s="38"/>
      <c r="G76" s="38"/>
      <c r="H76" s="38"/>
      <c r="I76" s="38"/>
      <c r="J76" s="38"/>
      <c r="K76" s="38"/>
      <c r="M76" s="37"/>
      <c r="N76" s="37"/>
      <c r="O76" s="37"/>
      <c r="AD76" s="38"/>
      <c r="AE76" s="38"/>
      <c r="AF76" s="38"/>
      <c r="AG76" s="38"/>
      <c r="AH76" s="38"/>
      <c r="AJ76" s="39"/>
    </row>
    <row r="77" spans="4:36" s="36" customFormat="1" x14ac:dyDescent="0.25">
      <c r="D77" s="37"/>
      <c r="E77" s="38"/>
      <c r="F77" s="38"/>
      <c r="G77" s="38"/>
      <c r="H77" s="38"/>
      <c r="I77" s="38"/>
      <c r="J77" s="38"/>
      <c r="K77" s="38"/>
      <c r="M77" s="37"/>
      <c r="N77" s="37"/>
      <c r="O77" s="37"/>
      <c r="AD77" s="38"/>
      <c r="AE77" s="38"/>
      <c r="AF77" s="38"/>
      <c r="AG77" s="38"/>
      <c r="AH77" s="38"/>
      <c r="AJ77" s="39"/>
    </row>
    <row r="78" spans="4:36" s="36" customFormat="1" x14ac:dyDescent="0.25">
      <c r="D78" s="37"/>
      <c r="E78" s="38"/>
      <c r="F78" s="38"/>
      <c r="G78" s="38"/>
      <c r="H78" s="38"/>
      <c r="I78" s="38"/>
      <c r="J78" s="38"/>
      <c r="K78" s="38"/>
      <c r="M78" s="37"/>
      <c r="N78" s="37"/>
      <c r="O78" s="37"/>
      <c r="AD78" s="38"/>
      <c r="AE78" s="38"/>
      <c r="AF78" s="38"/>
      <c r="AG78" s="38"/>
      <c r="AH78" s="38"/>
      <c r="AJ78" s="39"/>
    </row>
    <row r="79" spans="4:36" s="36" customFormat="1" x14ac:dyDescent="0.25">
      <c r="D79" s="37"/>
      <c r="E79" s="38"/>
      <c r="F79" s="38"/>
      <c r="G79" s="38"/>
      <c r="H79" s="38"/>
      <c r="I79" s="38"/>
      <c r="J79" s="38"/>
      <c r="K79" s="38"/>
      <c r="M79" s="37"/>
      <c r="N79" s="37"/>
      <c r="O79" s="37"/>
      <c r="AD79" s="38"/>
      <c r="AE79" s="38"/>
      <c r="AF79" s="38"/>
      <c r="AG79" s="38"/>
      <c r="AH79" s="38"/>
      <c r="AJ79" s="39"/>
    </row>
    <row r="80" spans="4:36" s="36" customFormat="1" x14ac:dyDescent="0.25">
      <c r="D80" s="37"/>
      <c r="E80" s="38"/>
      <c r="F80" s="38"/>
      <c r="G80" s="38"/>
      <c r="H80" s="38"/>
      <c r="I80" s="38"/>
      <c r="J80" s="38"/>
      <c r="K80" s="38"/>
      <c r="M80" s="37"/>
      <c r="N80" s="37"/>
      <c r="O80" s="37"/>
      <c r="AD80" s="38"/>
      <c r="AE80" s="38"/>
      <c r="AF80" s="38"/>
      <c r="AG80" s="38"/>
      <c r="AH80" s="38"/>
      <c r="AJ80" s="39"/>
    </row>
    <row r="81" spans="4:36" s="36" customFormat="1" x14ac:dyDescent="0.25">
      <c r="D81" s="37"/>
      <c r="E81" s="38"/>
      <c r="F81" s="38"/>
      <c r="G81" s="38"/>
      <c r="H81" s="38"/>
      <c r="I81" s="38"/>
      <c r="J81" s="38"/>
      <c r="K81" s="38"/>
      <c r="M81" s="37"/>
      <c r="N81" s="37"/>
      <c r="O81" s="37"/>
      <c r="AD81" s="38"/>
      <c r="AE81" s="38"/>
      <c r="AF81" s="38"/>
      <c r="AG81" s="38"/>
      <c r="AH81" s="38"/>
      <c r="AJ81" s="39"/>
    </row>
    <row r="82" spans="4:36" s="36" customFormat="1" x14ac:dyDescent="0.25">
      <c r="D82" s="37"/>
      <c r="E82" s="38"/>
      <c r="F82" s="38"/>
      <c r="G82" s="38"/>
      <c r="H82" s="38"/>
      <c r="I82" s="38"/>
      <c r="J82" s="38"/>
      <c r="K82" s="38"/>
      <c r="M82" s="37"/>
      <c r="N82" s="37"/>
      <c r="O82" s="37"/>
      <c r="AD82" s="38"/>
      <c r="AE82" s="38"/>
      <c r="AF82" s="38"/>
      <c r="AG82" s="38"/>
      <c r="AH82" s="38"/>
      <c r="AJ82" s="39"/>
    </row>
    <row r="83" spans="4:36" s="36" customFormat="1" x14ac:dyDescent="0.25">
      <c r="D83" s="37"/>
      <c r="E83" s="38"/>
      <c r="F83" s="38"/>
      <c r="G83" s="38"/>
      <c r="H83" s="38"/>
      <c r="I83" s="38"/>
      <c r="J83" s="38"/>
      <c r="K83" s="38"/>
      <c r="M83" s="37"/>
      <c r="N83" s="37"/>
      <c r="O83" s="37"/>
      <c r="AD83" s="38"/>
      <c r="AE83" s="38"/>
      <c r="AF83" s="38"/>
      <c r="AG83" s="38"/>
      <c r="AH83" s="38"/>
      <c r="AJ83" s="39"/>
    </row>
    <row r="84" spans="4:36" s="36" customFormat="1" x14ac:dyDescent="0.25">
      <c r="D84" s="37"/>
      <c r="E84" s="38"/>
      <c r="F84" s="38"/>
      <c r="G84" s="38"/>
      <c r="H84" s="38"/>
      <c r="I84" s="38"/>
      <c r="J84" s="38"/>
      <c r="K84" s="38"/>
      <c r="M84" s="37"/>
      <c r="N84" s="37"/>
      <c r="O84" s="37"/>
      <c r="AD84" s="38"/>
      <c r="AE84" s="38"/>
      <c r="AF84" s="38"/>
      <c r="AG84" s="38"/>
      <c r="AH84" s="38"/>
      <c r="AJ84" s="39"/>
    </row>
    <row r="85" spans="4:36" s="36" customFormat="1" x14ac:dyDescent="0.25">
      <c r="D85" s="37"/>
      <c r="E85" s="38"/>
      <c r="F85" s="38"/>
      <c r="G85" s="38"/>
      <c r="H85" s="38"/>
      <c r="I85" s="38"/>
      <c r="J85" s="38"/>
      <c r="K85" s="38"/>
      <c r="M85" s="37"/>
      <c r="N85" s="37"/>
      <c r="O85" s="37"/>
      <c r="AD85" s="38"/>
      <c r="AE85" s="38"/>
      <c r="AF85" s="38"/>
      <c r="AG85" s="38"/>
      <c r="AH85" s="38"/>
      <c r="AJ85" s="39"/>
    </row>
    <row r="86" spans="4:36" s="36" customFormat="1" x14ac:dyDescent="0.25">
      <c r="D86" s="37"/>
      <c r="E86" s="38"/>
      <c r="F86" s="38"/>
      <c r="G86" s="38"/>
      <c r="H86" s="38"/>
      <c r="I86" s="38"/>
      <c r="J86" s="38"/>
      <c r="K86" s="38"/>
      <c r="M86" s="37"/>
      <c r="N86" s="37"/>
      <c r="O86" s="37"/>
      <c r="AD86" s="38"/>
      <c r="AE86" s="38"/>
      <c r="AF86" s="38"/>
      <c r="AG86" s="38"/>
      <c r="AH86" s="38"/>
      <c r="AJ86" s="39"/>
    </row>
    <row r="87" spans="4:36" s="36" customFormat="1" x14ac:dyDescent="0.25">
      <c r="D87" s="37"/>
      <c r="E87" s="38"/>
      <c r="F87" s="38"/>
      <c r="G87" s="38"/>
      <c r="H87" s="38"/>
      <c r="I87" s="38"/>
      <c r="J87" s="38"/>
      <c r="K87" s="38"/>
      <c r="M87" s="37"/>
      <c r="N87" s="37"/>
      <c r="O87" s="37"/>
      <c r="AD87" s="38"/>
      <c r="AE87" s="38"/>
      <c r="AF87" s="38"/>
      <c r="AG87" s="38"/>
      <c r="AH87" s="38"/>
      <c r="AJ87" s="39"/>
    </row>
    <row r="88" spans="4:36" s="36" customFormat="1" x14ac:dyDescent="0.25">
      <c r="D88" s="37"/>
      <c r="E88" s="38"/>
      <c r="F88" s="38"/>
      <c r="G88" s="38"/>
      <c r="H88" s="38"/>
      <c r="I88" s="38"/>
      <c r="J88" s="38"/>
      <c r="K88" s="38"/>
      <c r="M88" s="37"/>
      <c r="N88" s="37"/>
      <c r="O88" s="37"/>
      <c r="AD88" s="38"/>
      <c r="AE88" s="38"/>
      <c r="AF88" s="38"/>
      <c r="AG88" s="38"/>
      <c r="AH88" s="38"/>
      <c r="AJ88" s="39"/>
    </row>
    <row r="89" spans="4:36" s="36" customFormat="1" x14ac:dyDescent="0.25">
      <c r="D89" s="37"/>
      <c r="E89" s="38"/>
      <c r="F89" s="38"/>
      <c r="G89" s="38"/>
      <c r="H89" s="38"/>
      <c r="I89" s="38"/>
      <c r="J89" s="38"/>
      <c r="K89" s="38"/>
      <c r="M89" s="37"/>
      <c r="N89" s="37"/>
      <c r="O89" s="37"/>
      <c r="AD89" s="38"/>
      <c r="AE89" s="38"/>
      <c r="AF89" s="38"/>
      <c r="AG89" s="38"/>
      <c r="AH89" s="38"/>
      <c r="AJ89" s="39"/>
    </row>
    <row r="90" spans="4:36" s="36" customFormat="1" x14ac:dyDescent="0.25">
      <c r="D90" s="37"/>
      <c r="E90" s="38"/>
      <c r="F90" s="38"/>
      <c r="G90" s="38"/>
      <c r="H90" s="38"/>
      <c r="I90" s="38"/>
      <c r="J90" s="38"/>
      <c r="K90" s="38"/>
      <c r="M90" s="37"/>
      <c r="N90" s="37"/>
      <c r="O90" s="37"/>
      <c r="AD90" s="38"/>
      <c r="AE90" s="38"/>
      <c r="AF90" s="38"/>
      <c r="AG90" s="38"/>
      <c r="AH90" s="38"/>
      <c r="AJ90" s="39"/>
    </row>
    <row r="91" spans="4:36" s="36" customFormat="1" x14ac:dyDescent="0.25">
      <c r="D91" s="37"/>
      <c r="E91" s="38"/>
      <c r="F91" s="38"/>
      <c r="G91" s="38"/>
      <c r="H91" s="38"/>
      <c r="I91" s="38"/>
      <c r="J91" s="38"/>
      <c r="K91" s="38"/>
      <c r="M91" s="37"/>
      <c r="N91" s="37"/>
      <c r="O91" s="37"/>
      <c r="AD91" s="38"/>
      <c r="AE91" s="38"/>
      <c r="AF91" s="38"/>
      <c r="AG91" s="38"/>
      <c r="AH91" s="38"/>
      <c r="AJ91" s="39"/>
    </row>
    <row r="92" spans="4:36" s="36" customFormat="1" x14ac:dyDescent="0.25">
      <c r="D92" s="37"/>
      <c r="E92" s="38"/>
      <c r="F92" s="38"/>
      <c r="G92" s="38"/>
      <c r="H92" s="38"/>
      <c r="I92" s="38"/>
      <c r="J92" s="38"/>
      <c r="K92" s="38"/>
      <c r="M92" s="37"/>
      <c r="N92" s="37"/>
      <c r="O92" s="37"/>
      <c r="AD92" s="38"/>
      <c r="AE92" s="38"/>
      <c r="AF92" s="38"/>
      <c r="AG92" s="38"/>
      <c r="AH92" s="38"/>
      <c r="AJ92" s="39"/>
    </row>
    <row r="93" spans="4:36" s="36" customFormat="1" x14ac:dyDescent="0.25">
      <c r="D93" s="37"/>
      <c r="E93" s="38"/>
      <c r="F93" s="38"/>
      <c r="G93" s="38"/>
      <c r="H93" s="38"/>
      <c r="I93" s="38"/>
      <c r="J93" s="38"/>
      <c r="K93" s="38"/>
      <c r="M93" s="37"/>
      <c r="N93" s="37"/>
      <c r="O93" s="37"/>
      <c r="AD93" s="38"/>
      <c r="AE93" s="38"/>
      <c r="AF93" s="38"/>
      <c r="AG93" s="38"/>
      <c r="AH93" s="38"/>
      <c r="AJ93" s="39"/>
    </row>
    <row r="94" spans="4:36" s="36" customFormat="1" x14ac:dyDescent="0.25">
      <c r="D94" s="37"/>
      <c r="E94" s="38"/>
      <c r="F94" s="38"/>
      <c r="G94" s="38"/>
      <c r="H94" s="38"/>
      <c r="I94" s="38"/>
      <c r="J94" s="38"/>
      <c r="K94" s="38"/>
      <c r="M94" s="37"/>
      <c r="N94" s="37"/>
      <c r="O94" s="37"/>
      <c r="AD94" s="38"/>
      <c r="AE94" s="38"/>
      <c r="AF94" s="38"/>
      <c r="AG94" s="38"/>
      <c r="AH94" s="38"/>
      <c r="AJ94" s="39"/>
    </row>
    <row r="95" spans="4:36" s="36" customFormat="1" x14ac:dyDescent="0.25">
      <c r="D95" s="37"/>
      <c r="E95" s="38"/>
      <c r="F95" s="38"/>
      <c r="G95" s="38"/>
      <c r="H95" s="38"/>
      <c r="I95" s="38"/>
      <c r="J95" s="38"/>
      <c r="K95" s="38"/>
      <c r="M95" s="37"/>
      <c r="N95" s="37"/>
      <c r="O95" s="37"/>
      <c r="AD95" s="38"/>
      <c r="AE95" s="38"/>
      <c r="AF95" s="38"/>
      <c r="AG95" s="38"/>
      <c r="AH95" s="38"/>
      <c r="AJ95" s="39"/>
    </row>
    <row r="96" spans="4:36" s="36" customFormat="1" x14ac:dyDescent="0.25">
      <c r="D96" s="37"/>
      <c r="E96" s="38"/>
      <c r="F96" s="38"/>
      <c r="G96" s="38"/>
      <c r="H96" s="38"/>
      <c r="I96" s="38"/>
      <c r="J96" s="38"/>
      <c r="K96" s="38"/>
      <c r="M96" s="37"/>
      <c r="N96" s="37"/>
      <c r="O96" s="37"/>
      <c r="AD96" s="38"/>
      <c r="AE96" s="38"/>
      <c r="AF96" s="38"/>
      <c r="AG96" s="38"/>
      <c r="AH96" s="38"/>
      <c r="AJ96" s="39"/>
    </row>
    <row r="97" spans="4:36" s="36" customFormat="1" x14ac:dyDescent="0.25">
      <c r="D97" s="37"/>
      <c r="E97" s="38"/>
      <c r="F97" s="38"/>
      <c r="G97" s="38"/>
      <c r="H97" s="38"/>
      <c r="I97" s="38"/>
      <c r="J97" s="38"/>
      <c r="K97" s="38"/>
      <c r="M97" s="37"/>
      <c r="N97" s="37"/>
      <c r="O97" s="37"/>
      <c r="AD97" s="38"/>
      <c r="AE97" s="38"/>
      <c r="AF97" s="38"/>
      <c r="AG97" s="38"/>
      <c r="AH97" s="38"/>
      <c r="AJ97" s="39"/>
    </row>
    <row r="98" spans="4:36" s="36" customFormat="1" x14ac:dyDescent="0.25">
      <c r="D98" s="37"/>
      <c r="E98" s="38"/>
      <c r="F98" s="38"/>
      <c r="G98" s="38"/>
      <c r="H98" s="38"/>
      <c r="I98" s="38"/>
      <c r="J98" s="38"/>
      <c r="K98" s="38"/>
      <c r="M98" s="37"/>
      <c r="N98" s="37"/>
      <c r="O98" s="37"/>
      <c r="AD98" s="38"/>
      <c r="AE98" s="38"/>
      <c r="AF98" s="38"/>
      <c r="AG98" s="38"/>
      <c r="AH98" s="38"/>
      <c r="AJ98" s="39"/>
    </row>
    <row r="99" spans="4:36" s="36" customFormat="1" x14ac:dyDescent="0.25">
      <c r="D99" s="37"/>
      <c r="E99" s="38"/>
      <c r="F99" s="38"/>
      <c r="G99" s="38"/>
      <c r="H99" s="38"/>
      <c r="I99" s="38"/>
      <c r="J99" s="38"/>
      <c r="K99" s="38"/>
      <c r="M99" s="37"/>
      <c r="N99" s="37"/>
      <c r="O99" s="37"/>
      <c r="AD99" s="38"/>
      <c r="AE99" s="38"/>
      <c r="AF99" s="38"/>
      <c r="AG99" s="38"/>
      <c r="AH99" s="38"/>
      <c r="AJ99" s="39"/>
    </row>
    <row r="100" spans="4:36" s="36" customFormat="1" x14ac:dyDescent="0.25">
      <c r="D100" s="37"/>
      <c r="E100" s="38"/>
      <c r="F100" s="38"/>
      <c r="G100" s="38"/>
      <c r="H100" s="38"/>
      <c r="I100" s="38"/>
      <c r="J100" s="38"/>
      <c r="K100" s="38"/>
      <c r="M100" s="37"/>
      <c r="N100" s="37"/>
      <c r="O100" s="37"/>
      <c r="AD100" s="38"/>
      <c r="AE100" s="38"/>
      <c r="AF100" s="38"/>
      <c r="AG100" s="38"/>
      <c r="AH100" s="38"/>
      <c r="AJ100" s="39"/>
    </row>
    <row r="101" spans="4:36" s="36" customFormat="1" x14ac:dyDescent="0.25">
      <c r="D101" s="37"/>
      <c r="E101" s="38"/>
      <c r="F101" s="38"/>
      <c r="G101" s="38"/>
      <c r="H101" s="38"/>
      <c r="I101" s="38"/>
      <c r="J101" s="38"/>
      <c r="K101" s="38"/>
      <c r="M101" s="37"/>
      <c r="N101" s="37"/>
      <c r="O101" s="37"/>
      <c r="AD101" s="38"/>
      <c r="AE101" s="38"/>
      <c r="AF101" s="38"/>
      <c r="AG101" s="38"/>
      <c r="AH101" s="38"/>
      <c r="AJ101" s="39"/>
    </row>
    <row r="102" spans="4:36" s="36" customFormat="1" x14ac:dyDescent="0.25">
      <c r="D102" s="37"/>
      <c r="E102" s="38"/>
      <c r="F102" s="38"/>
      <c r="G102" s="38"/>
      <c r="H102" s="38"/>
      <c r="I102" s="38"/>
      <c r="J102" s="38"/>
      <c r="K102" s="38"/>
      <c r="M102" s="37"/>
      <c r="N102" s="37"/>
      <c r="O102" s="37"/>
      <c r="AD102" s="38"/>
      <c r="AE102" s="38"/>
      <c r="AF102" s="38"/>
      <c r="AG102" s="38"/>
      <c r="AH102" s="38"/>
      <c r="AJ102" s="39"/>
    </row>
    <row r="103" spans="4:36" s="36" customFormat="1" x14ac:dyDescent="0.25">
      <c r="D103" s="37"/>
      <c r="E103" s="38"/>
      <c r="F103" s="38"/>
      <c r="G103" s="38"/>
      <c r="H103" s="38"/>
      <c r="I103" s="38"/>
      <c r="J103" s="38"/>
      <c r="K103" s="38"/>
      <c r="M103" s="37"/>
      <c r="N103" s="37"/>
      <c r="O103" s="37"/>
      <c r="AD103" s="38"/>
      <c r="AE103" s="38"/>
      <c r="AF103" s="38"/>
      <c r="AG103" s="38"/>
      <c r="AH103" s="38"/>
      <c r="AJ103" s="39"/>
    </row>
    <row r="104" spans="4:36" s="36" customFormat="1" x14ac:dyDescent="0.25">
      <c r="D104" s="37"/>
      <c r="E104" s="38"/>
      <c r="F104" s="38"/>
      <c r="G104" s="38"/>
      <c r="H104" s="38"/>
      <c r="I104" s="38"/>
      <c r="J104" s="38"/>
      <c r="K104" s="38"/>
      <c r="M104" s="37"/>
      <c r="N104" s="37"/>
      <c r="O104" s="37"/>
      <c r="AD104" s="38"/>
      <c r="AE104" s="38"/>
      <c r="AF104" s="38"/>
      <c r="AG104" s="38"/>
      <c r="AH104" s="38"/>
      <c r="AJ104" s="39"/>
    </row>
    <row r="105" spans="4:36" s="36" customFormat="1" x14ac:dyDescent="0.25">
      <c r="D105" s="37"/>
      <c r="E105" s="38"/>
      <c r="F105" s="38"/>
      <c r="G105" s="38"/>
      <c r="H105" s="38"/>
      <c r="I105" s="38"/>
      <c r="J105" s="38"/>
      <c r="K105" s="38"/>
      <c r="M105" s="37"/>
      <c r="N105" s="37"/>
      <c r="O105" s="37"/>
      <c r="AD105" s="38"/>
      <c r="AE105" s="38"/>
      <c r="AF105" s="38"/>
      <c r="AG105" s="38"/>
      <c r="AH105" s="38"/>
      <c r="AJ105" s="39"/>
    </row>
    <row r="106" spans="4:36" s="36" customFormat="1" x14ac:dyDescent="0.25">
      <c r="D106" s="37"/>
      <c r="E106" s="38"/>
      <c r="F106" s="38"/>
      <c r="G106" s="38"/>
      <c r="H106" s="38"/>
      <c r="I106" s="38"/>
      <c r="J106" s="38"/>
      <c r="K106" s="38"/>
      <c r="M106" s="37"/>
      <c r="N106" s="37"/>
      <c r="O106" s="37"/>
      <c r="AD106" s="38"/>
      <c r="AE106" s="38"/>
      <c r="AF106" s="38"/>
      <c r="AG106" s="38"/>
      <c r="AH106" s="38"/>
      <c r="AJ106" s="39"/>
    </row>
    <row r="107" spans="4:36" s="36" customFormat="1" x14ac:dyDescent="0.25">
      <c r="D107" s="37"/>
      <c r="E107" s="38"/>
      <c r="F107" s="38"/>
      <c r="G107" s="38"/>
      <c r="H107" s="38"/>
      <c r="I107" s="38"/>
      <c r="J107" s="38"/>
      <c r="K107" s="38"/>
      <c r="M107" s="37"/>
      <c r="N107" s="37"/>
      <c r="O107" s="37"/>
      <c r="AD107" s="38"/>
      <c r="AE107" s="38"/>
      <c r="AF107" s="38"/>
      <c r="AG107" s="38"/>
      <c r="AH107" s="38"/>
      <c r="AJ107" s="39"/>
    </row>
    <row r="108" spans="4:36" s="36" customFormat="1" x14ac:dyDescent="0.25">
      <c r="D108" s="37"/>
      <c r="E108" s="38"/>
      <c r="F108" s="38"/>
      <c r="G108" s="38"/>
      <c r="H108" s="38"/>
      <c r="I108" s="38"/>
      <c r="J108" s="38"/>
      <c r="K108" s="38"/>
      <c r="M108" s="37"/>
      <c r="N108" s="37"/>
      <c r="O108" s="37"/>
      <c r="AD108" s="38"/>
      <c r="AE108" s="38"/>
      <c r="AF108" s="38"/>
      <c r="AG108" s="38"/>
      <c r="AH108" s="38"/>
      <c r="AJ108" s="39"/>
    </row>
    <row r="109" spans="4:36" s="36" customFormat="1" x14ac:dyDescent="0.25">
      <c r="D109" s="37"/>
      <c r="E109" s="38"/>
      <c r="F109" s="38"/>
      <c r="G109" s="38"/>
      <c r="H109" s="38"/>
      <c r="I109" s="38"/>
      <c r="J109" s="38"/>
      <c r="K109" s="38"/>
      <c r="M109" s="37"/>
      <c r="N109" s="37"/>
      <c r="O109" s="37"/>
      <c r="AD109" s="38"/>
      <c r="AE109" s="38"/>
      <c r="AF109" s="38"/>
      <c r="AG109" s="38"/>
      <c r="AH109" s="38"/>
      <c r="AJ109" s="39"/>
    </row>
    <row r="110" spans="4:36" s="36" customFormat="1" x14ac:dyDescent="0.25">
      <c r="D110" s="37"/>
      <c r="E110" s="38"/>
      <c r="F110" s="38"/>
      <c r="G110" s="38"/>
      <c r="H110" s="38"/>
      <c r="I110" s="38"/>
      <c r="J110" s="38"/>
      <c r="K110" s="38"/>
      <c r="M110" s="37"/>
      <c r="N110" s="37"/>
      <c r="O110" s="37"/>
      <c r="AD110" s="38"/>
      <c r="AE110" s="38"/>
      <c r="AF110" s="38"/>
      <c r="AG110" s="38"/>
      <c r="AH110" s="38"/>
      <c r="AJ110" s="39"/>
    </row>
    <row r="111" spans="4:36" s="36" customFormat="1" x14ac:dyDescent="0.25">
      <c r="D111" s="37"/>
      <c r="E111" s="38"/>
      <c r="F111" s="38"/>
      <c r="G111" s="38"/>
      <c r="H111" s="38"/>
      <c r="I111" s="38"/>
      <c r="J111" s="38"/>
      <c r="K111" s="38"/>
      <c r="M111" s="37"/>
      <c r="N111" s="37"/>
      <c r="O111" s="37"/>
      <c r="AD111" s="38"/>
      <c r="AE111" s="38"/>
      <c r="AF111" s="38"/>
      <c r="AG111" s="38"/>
      <c r="AH111" s="38"/>
      <c r="AJ111" s="39"/>
    </row>
    <row r="112" spans="4:36" s="36" customFormat="1" x14ac:dyDescent="0.25">
      <c r="D112" s="37"/>
      <c r="E112" s="38"/>
      <c r="F112" s="38"/>
      <c r="G112" s="38"/>
      <c r="H112" s="38"/>
      <c r="I112" s="38"/>
      <c r="J112" s="38"/>
      <c r="K112" s="38"/>
      <c r="M112" s="37"/>
      <c r="N112" s="37"/>
      <c r="O112" s="37"/>
      <c r="AD112" s="38"/>
      <c r="AE112" s="38"/>
      <c r="AF112" s="38"/>
      <c r="AG112" s="38"/>
      <c r="AH112" s="38"/>
      <c r="AJ112" s="39"/>
    </row>
    <row r="113" spans="4:36" s="36" customFormat="1" x14ac:dyDescent="0.25">
      <c r="D113" s="37"/>
      <c r="E113" s="38"/>
      <c r="F113" s="38"/>
      <c r="G113" s="38"/>
      <c r="H113" s="38"/>
      <c r="I113" s="38"/>
      <c r="J113" s="38"/>
      <c r="K113" s="38"/>
      <c r="M113" s="37"/>
      <c r="N113" s="37"/>
      <c r="O113" s="37"/>
      <c r="AD113" s="38"/>
      <c r="AE113" s="38"/>
      <c r="AF113" s="38"/>
      <c r="AG113" s="38"/>
      <c r="AH113" s="38"/>
      <c r="AJ113" s="39"/>
    </row>
    <row r="114" spans="4:36" s="36" customFormat="1" x14ac:dyDescent="0.25">
      <c r="D114" s="37"/>
      <c r="E114" s="38"/>
      <c r="F114" s="38"/>
      <c r="G114" s="38"/>
      <c r="H114" s="38"/>
      <c r="I114" s="38"/>
      <c r="J114" s="38"/>
      <c r="K114" s="38"/>
      <c r="M114" s="37"/>
      <c r="N114" s="37"/>
      <c r="O114" s="37"/>
      <c r="AD114" s="38"/>
      <c r="AE114" s="38"/>
      <c r="AF114" s="38"/>
      <c r="AG114" s="38"/>
      <c r="AH114" s="38"/>
      <c r="AJ114" s="39"/>
    </row>
    <row r="115" spans="4:36" s="36" customFormat="1" x14ac:dyDescent="0.25">
      <c r="D115" s="37"/>
      <c r="E115" s="38"/>
      <c r="F115" s="38"/>
      <c r="G115" s="38"/>
      <c r="H115" s="38"/>
      <c r="I115" s="38"/>
      <c r="J115" s="38"/>
      <c r="K115" s="38"/>
      <c r="M115" s="37"/>
      <c r="N115" s="37"/>
      <c r="O115" s="37"/>
      <c r="AD115" s="38"/>
      <c r="AE115" s="38"/>
      <c r="AF115" s="38"/>
      <c r="AG115" s="38"/>
      <c r="AH115" s="38"/>
      <c r="AJ115" s="39"/>
    </row>
    <row r="116" spans="4:36" s="36" customFormat="1" x14ac:dyDescent="0.25">
      <c r="D116" s="37"/>
      <c r="E116" s="38"/>
      <c r="F116" s="38"/>
      <c r="G116" s="38"/>
      <c r="H116" s="38"/>
      <c r="I116" s="38"/>
      <c r="J116" s="38"/>
      <c r="K116" s="38"/>
      <c r="M116" s="37"/>
      <c r="N116" s="37"/>
      <c r="O116" s="37"/>
      <c r="AD116" s="38"/>
      <c r="AE116" s="38"/>
      <c r="AF116" s="38"/>
      <c r="AG116" s="38"/>
      <c r="AH116" s="38"/>
      <c r="AJ116" s="39"/>
    </row>
    <row r="117" spans="4:36" s="36" customFormat="1" x14ac:dyDescent="0.25">
      <c r="D117" s="37"/>
      <c r="E117" s="38"/>
      <c r="F117" s="38"/>
      <c r="G117" s="38"/>
      <c r="H117" s="38"/>
      <c r="I117" s="38"/>
      <c r="J117" s="38"/>
      <c r="K117" s="38"/>
      <c r="M117" s="37"/>
      <c r="N117" s="37"/>
      <c r="O117" s="37"/>
      <c r="AD117" s="38"/>
      <c r="AE117" s="38"/>
      <c r="AF117" s="38"/>
      <c r="AG117" s="38"/>
      <c r="AH117" s="38"/>
      <c r="AJ117" s="39"/>
    </row>
    <row r="118" spans="4:36" s="36" customFormat="1" x14ac:dyDescent="0.25">
      <c r="D118" s="37"/>
      <c r="E118" s="38"/>
      <c r="F118" s="38"/>
      <c r="G118" s="38"/>
      <c r="H118" s="38"/>
      <c r="I118" s="38"/>
      <c r="J118" s="38"/>
      <c r="K118" s="38"/>
      <c r="M118" s="37"/>
      <c r="N118" s="37"/>
      <c r="O118" s="37"/>
      <c r="AD118" s="38"/>
      <c r="AE118" s="38"/>
      <c r="AF118" s="38"/>
      <c r="AG118" s="38"/>
      <c r="AH118" s="38"/>
      <c r="AJ118" s="39"/>
    </row>
    <row r="119" spans="4:36" s="36" customFormat="1" x14ac:dyDescent="0.25">
      <c r="D119" s="37"/>
      <c r="E119" s="38"/>
      <c r="F119" s="38"/>
      <c r="G119" s="38"/>
      <c r="H119" s="38"/>
      <c r="I119" s="38"/>
      <c r="J119" s="38"/>
      <c r="K119" s="38"/>
      <c r="M119" s="37"/>
      <c r="N119" s="37"/>
      <c r="O119" s="37"/>
      <c r="AD119" s="38"/>
      <c r="AE119" s="38"/>
      <c r="AF119" s="38"/>
      <c r="AG119" s="38"/>
      <c r="AH119" s="38"/>
      <c r="AJ119" s="39"/>
    </row>
    <row r="120" spans="4:36" s="36" customFormat="1" x14ac:dyDescent="0.25">
      <c r="D120" s="37"/>
      <c r="E120" s="38"/>
      <c r="F120" s="38"/>
      <c r="G120" s="38"/>
      <c r="H120" s="38"/>
      <c r="I120" s="38"/>
      <c r="J120" s="38"/>
      <c r="K120" s="38"/>
      <c r="M120" s="37"/>
      <c r="N120" s="37"/>
      <c r="O120" s="37"/>
      <c r="AD120" s="38"/>
      <c r="AE120" s="38"/>
      <c r="AF120" s="38"/>
      <c r="AG120" s="38"/>
      <c r="AH120" s="38"/>
      <c r="AJ120" s="39"/>
    </row>
    <row r="121" spans="4:36" s="36" customFormat="1" x14ac:dyDescent="0.25">
      <c r="D121" s="37"/>
      <c r="E121" s="38"/>
      <c r="F121" s="38"/>
      <c r="G121" s="38"/>
      <c r="H121" s="38"/>
      <c r="I121" s="38"/>
      <c r="J121" s="38"/>
      <c r="K121" s="38"/>
      <c r="M121" s="37"/>
      <c r="N121" s="37"/>
      <c r="O121" s="37"/>
      <c r="AD121" s="38"/>
      <c r="AE121" s="38"/>
      <c r="AF121" s="38"/>
      <c r="AG121" s="38"/>
      <c r="AH121" s="38"/>
      <c r="AJ121" s="39"/>
    </row>
    <row r="122" spans="4:36" s="36" customFormat="1" x14ac:dyDescent="0.25">
      <c r="D122" s="37"/>
      <c r="E122" s="38"/>
      <c r="F122" s="38"/>
      <c r="G122" s="38"/>
      <c r="H122" s="38"/>
      <c r="I122" s="38"/>
      <c r="J122" s="38"/>
      <c r="K122" s="38"/>
      <c r="M122" s="37"/>
      <c r="N122" s="37"/>
      <c r="O122" s="37"/>
      <c r="AD122" s="38"/>
      <c r="AE122" s="38"/>
      <c r="AF122" s="38"/>
      <c r="AG122" s="38"/>
      <c r="AH122" s="38"/>
      <c r="AJ122" s="39"/>
    </row>
    <row r="123" spans="4:36" s="36" customFormat="1" x14ac:dyDescent="0.25">
      <c r="D123" s="37"/>
      <c r="E123" s="38"/>
      <c r="F123" s="38"/>
      <c r="G123" s="38"/>
      <c r="H123" s="38"/>
      <c r="I123" s="38"/>
      <c r="J123" s="38"/>
      <c r="K123" s="38"/>
      <c r="M123" s="37"/>
      <c r="N123" s="37"/>
      <c r="O123" s="37"/>
      <c r="AD123" s="38"/>
      <c r="AE123" s="38"/>
      <c r="AF123" s="38"/>
      <c r="AG123" s="38"/>
      <c r="AH123" s="38"/>
      <c r="AJ123" s="39"/>
    </row>
    <row r="124" spans="4:36" s="36" customFormat="1" x14ac:dyDescent="0.25">
      <c r="D124" s="37"/>
      <c r="E124" s="38"/>
      <c r="F124" s="38"/>
      <c r="G124" s="38"/>
      <c r="H124" s="38"/>
      <c r="I124" s="38"/>
      <c r="J124" s="38"/>
      <c r="K124" s="38"/>
      <c r="M124" s="37"/>
      <c r="N124" s="37"/>
      <c r="O124" s="37"/>
      <c r="AD124" s="38"/>
      <c r="AE124" s="38"/>
      <c r="AF124" s="38"/>
      <c r="AG124" s="38"/>
      <c r="AH124" s="38"/>
      <c r="AJ124" s="39"/>
    </row>
    <row r="125" spans="4:36" s="36" customFormat="1" x14ac:dyDescent="0.25">
      <c r="D125" s="37"/>
      <c r="E125" s="38"/>
      <c r="F125" s="38"/>
      <c r="G125" s="38"/>
      <c r="H125" s="38"/>
      <c r="I125" s="38"/>
      <c r="J125" s="38"/>
      <c r="K125" s="38"/>
      <c r="M125" s="37"/>
      <c r="N125" s="37"/>
      <c r="O125" s="37"/>
      <c r="AD125" s="38"/>
      <c r="AE125" s="38"/>
      <c r="AF125" s="38"/>
      <c r="AG125" s="38"/>
      <c r="AH125" s="38"/>
      <c r="AJ125" s="39"/>
    </row>
    <row r="126" spans="4:36" s="36" customFormat="1" x14ac:dyDescent="0.25">
      <c r="D126" s="37"/>
      <c r="E126" s="38"/>
      <c r="F126" s="38"/>
      <c r="G126" s="38"/>
      <c r="H126" s="38"/>
      <c r="I126" s="38"/>
      <c r="J126" s="38"/>
      <c r="K126" s="38"/>
      <c r="M126" s="37"/>
      <c r="N126" s="37"/>
      <c r="O126" s="37"/>
      <c r="AD126" s="38"/>
      <c r="AE126" s="38"/>
      <c r="AF126" s="38"/>
      <c r="AG126" s="38"/>
      <c r="AH126" s="38"/>
      <c r="AJ126" s="39"/>
    </row>
    <row r="127" spans="4:36" s="36" customFormat="1" x14ac:dyDescent="0.25">
      <c r="D127" s="37"/>
      <c r="E127" s="38"/>
      <c r="F127" s="38"/>
      <c r="G127" s="38"/>
      <c r="H127" s="38"/>
      <c r="I127" s="38"/>
      <c r="J127" s="38"/>
      <c r="K127" s="38"/>
      <c r="M127" s="37"/>
      <c r="N127" s="37"/>
      <c r="O127" s="37"/>
      <c r="AD127" s="38"/>
      <c r="AE127" s="38"/>
      <c r="AF127" s="38"/>
      <c r="AG127" s="38"/>
      <c r="AH127" s="38"/>
      <c r="AJ127" s="39"/>
    </row>
    <row r="128" spans="4:36" s="36" customFormat="1" x14ac:dyDescent="0.25">
      <c r="D128" s="37"/>
      <c r="E128" s="38"/>
      <c r="F128" s="38"/>
      <c r="G128" s="38"/>
      <c r="H128" s="38"/>
      <c r="I128" s="38"/>
      <c r="J128" s="38"/>
      <c r="K128" s="38"/>
      <c r="M128" s="37"/>
      <c r="N128" s="37"/>
      <c r="O128" s="37"/>
      <c r="AD128" s="38"/>
      <c r="AE128" s="38"/>
      <c r="AF128" s="38"/>
      <c r="AG128" s="38"/>
      <c r="AH128" s="38"/>
      <c r="AJ128" s="39"/>
    </row>
    <row r="129" spans="4:36" s="36" customFormat="1" x14ac:dyDescent="0.25">
      <c r="D129" s="37"/>
      <c r="E129" s="38"/>
      <c r="F129" s="38"/>
      <c r="G129" s="38"/>
      <c r="H129" s="38"/>
      <c r="I129" s="38"/>
      <c r="J129" s="38"/>
      <c r="K129" s="38"/>
      <c r="M129" s="37"/>
      <c r="N129" s="37"/>
      <c r="O129" s="37"/>
      <c r="AD129" s="38"/>
      <c r="AE129" s="38"/>
      <c r="AF129" s="38"/>
      <c r="AG129" s="38"/>
      <c r="AH129" s="38"/>
      <c r="AJ129" s="39"/>
    </row>
    <row r="130" spans="4:36" s="36" customFormat="1" x14ac:dyDescent="0.25">
      <c r="D130" s="37"/>
      <c r="E130" s="38"/>
      <c r="F130" s="38"/>
      <c r="G130" s="38"/>
      <c r="H130" s="38"/>
      <c r="I130" s="38"/>
      <c r="J130" s="38"/>
      <c r="K130" s="38"/>
      <c r="M130" s="37"/>
      <c r="N130" s="37"/>
      <c r="O130" s="37"/>
      <c r="AD130" s="38"/>
      <c r="AE130" s="38"/>
      <c r="AF130" s="38"/>
      <c r="AG130" s="38"/>
      <c r="AH130" s="38"/>
      <c r="AJ130" s="39"/>
    </row>
    <row r="131" spans="4:36" s="36" customFormat="1" x14ac:dyDescent="0.25">
      <c r="D131" s="37"/>
      <c r="E131" s="38"/>
      <c r="F131" s="38"/>
      <c r="G131" s="38"/>
      <c r="H131" s="38"/>
      <c r="I131" s="38"/>
      <c r="J131" s="38"/>
      <c r="K131" s="38"/>
      <c r="M131" s="37"/>
      <c r="N131" s="37"/>
      <c r="O131" s="37"/>
      <c r="AD131" s="38"/>
      <c r="AE131" s="38"/>
      <c r="AF131" s="38"/>
      <c r="AG131" s="38"/>
      <c r="AH131" s="38"/>
      <c r="AJ131" s="39"/>
    </row>
    <row r="132" spans="4:36" s="36" customFormat="1" x14ac:dyDescent="0.25">
      <c r="D132" s="37"/>
      <c r="E132" s="38"/>
      <c r="F132" s="38"/>
      <c r="G132" s="38"/>
      <c r="H132" s="38"/>
      <c r="I132" s="38"/>
      <c r="J132" s="38"/>
      <c r="K132" s="38"/>
      <c r="M132" s="37"/>
      <c r="N132" s="37"/>
      <c r="O132" s="37"/>
      <c r="AD132" s="38"/>
      <c r="AE132" s="38"/>
      <c r="AF132" s="38"/>
      <c r="AG132" s="38"/>
      <c r="AH132" s="38"/>
      <c r="AJ132" s="39"/>
    </row>
    <row r="133" spans="4:36" s="36" customFormat="1" x14ac:dyDescent="0.25">
      <c r="D133" s="37"/>
      <c r="E133" s="38"/>
      <c r="F133" s="38"/>
      <c r="G133" s="38"/>
      <c r="H133" s="38"/>
      <c r="I133" s="38"/>
      <c r="J133" s="38"/>
      <c r="K133" s="38"/>
      <c r="M133" s="37"/>
      <c r="N133" s="37"/>
      <c r="O133" s="37"/>
      <c r="AD133" s="38"/>
      <c r="AE133" s="38"/>
      <c r="AF133" s="38"/>
      <c r="AG133" s="38"/>
      <c r="AH133" s="38"/>
      <c r="AJ133" s="39"/>
    </row>
    <row r="134" spans="4:36" s="36" customFormat="1" x14ac:dyDescent="0.25">
      <c r="D134" s="37"/>
      <c r="E134" s="38"/>
      <c r="F134" s="38"/>
      <c r="G134" s="38"/>
      <c r="H134" s="38"/>
      <c r="I134" s="38"/>
      <c r="J134" s="38"/>
      <c r="K134" s="38"/>
      <c r="M134" s="37"/>
      <c r="N134" s="37"/>
      <c r="O134" s="37"/>
      <c r="AD134" s="38"/>
      <c r="AE134" s="38"/>
      <c r="AF134" s="38"/>
      <c r="AG134" s="38"/>
      <c r="AH134" s="38"/>
      <c r="AJ134" s="39"/>
    </row>
    <row r="135" spans="4:36" s="36" customFormat="1" x14ac:dyDescent="0.25">
      <c r="D135" s="37"/>
      <c r="E135" s="38"/>
      <c r="F135" s="38"/>
      <c r="G135" s="38"/>
      <c r="H135" s="38"/>
      <c r="I135" s="38"/>
      <c r="J135" s="38"/>
      <c r="K135" s="38"/>
      <c r="M135" s="37"/>
      <c r="N135" s="37"/>
      <c r="O135" s="37"/>
      <c r="AD135" s="38"/>
      <c r="AE135" s="38"/>
      <c r="AF135" s="38"/>
      <c r="AG135" s="38"/>
      <c r="AH135" s="38"/>
      <c r="AJ135" s="39"/>
    </row>
    <row r="136" spans="4:36" s="36" customFormat="1" x14ac:dyDescent="0.25">
      <c r="D136" s="37"/>
      <c r="E136" s="38"/>
      <c r="F136" s="38"/>
      <c r="G136" s="38"/>
      <c r="H136" s="38"/>
      <c r="I136" s="38"/>
      <c r="J136" s="38"/>
      <c r="K136" s="38"/>
      <c r="M136" s="37"/>
      <c r="N136" s="37"/>
      <c r="O136" s="37"/>
      <c r="AD136" s="38"/>
      <c r="AE136" s="38"/>
      <c r="AF136" s="38"/>
      <c r="AG136" s="38"/>
      <c r="AH136" s="38"/>
      <c r="AJ136" s="39"/>
    </row>
    <row r="137" spans="4:36" s="36" customFormat="1" x14ac:dyDescent="0.25">
      <c r="D137" s="37"/>
      <c r="E137" s="38"/>
      <c r="F137" s="38"/>
      <c r="G137" s="38"/>
      <c r="H137" s="38"/>
      <c r="I137" s="38"/>
      <c r="J137" s="38"/>
      <c r="K137" s="38"/>
      <c r="M137" s="37"/>
      <c r="N137" s="37"/>
      <c r="O137" s="37"/>
      <c r="AD137" s="38"/>
      <c r="AE137" s="38"/>
      <c r="AF137" s="38"/>
      <c r="AG137" s="38"/>
      <c r="AH137" s="38"/>
      <c r="AJ137" s="39"/>
    </row>
    <row r="138" spans="4:36" s="36" customFormat="1" x14ac:dyDescent="0.25">
      <c r="D138" s="37"/>
      <c r="E138" s="38"/>
      <c r="F138" s="38"/>
      <c r="G138" s="38"/>
      <c r="H138" s="38"/>
      <c r="I138" s="38"/>
      <c r="J138" s="38"/>
      <c r="K138" s="38"/>
      <c r="M138" s="37"/>
      <c r="N138" s="37"/>
      <c r="O138" s="37"/>
      <c r="AD138" s="38"/>
      <c r="AE138" s="38"/>
      <c r="AF138" s="38"/>
      <c r="AG138" s="38"/>
      <c r="AH138" s="38"/>
      <c r="AJ138" s="39"/>
    </row>
    <row r="139" spans="4:36" s="36" customFormat="1" x14ac:dyDescent="0.25">
      <c r="D139" s="37"/>
      <c r="E139" s="38"/>
      <c r="F139" s="38"/>
      <c r="G139" s="38"/>
      <c r="H139" s="38"/>
      <c r="I139" s="38"/>
      <c r="J139" s="38"/>
      <c r="K139" s="38"/>
      <c r="M139" s="37"/>
      <c r="N139" s="37"/>
      <c r="O139" s="37"/>
      <c r="AD139" s="38"/>
      <c r="AE139" s="38"/>
      <c r="AF139" s="38"/>
      <c r="AG139" s="38"/>
      <c r="AH139" s="38"/>
      <c r="AJ139" s="39"/>
    </row>
    <row r="140" spans="4:36" s="36" customFormat="1" x14ac:dyDescent="0.25">
      <c r="D140" s="37"/>
      <c r="E140" s="38"/>
      <c r="F140" s="38"/>
      <c r="G140" s="38"/>
      <c r="H140" s="38"/>
      <c r="I140" s="38"/>
      <c r="J140" s="38"/>
      <c r="K140" s="38"/>
      <c r="M140" s="37"/>
      <c r="N140" s="37"/>
      <c r="O140" s="37"/>
      <c r="AD140" s="38"/>
      <c r="AE140" s="38"/>
      <c r="AF140" s="38"/>
      <c r="AG140" s="38"/>
      <c r="AH140" s="38"/>
      <c r="AJ140" s="39"/>
    </row>
    <row r="141" spans="4:36" s="36" customFormat="1" x14ac:dyDescent="0.25">
      <c r="D141" s="37"/>
      <c r="E141" s="38"/>
      <c r="F141" s="38"/>
      <c r="G141" s="38"/>
      <c r="H141" s="38"/>
      <c r="I141" s="38"/>
      <c r="J141" s="38"/>
      <c r="K141" s="38"/>
      <c r="M141" s="37"/>
      <c r="N141" s="37"/>
      <c r="O141" s="37"/>
      <c r="AD141" s="38"/>
      <c r="AE141" s="38"/>
      <c r="AF141" s="38"/>
      <c r="AG141" s="38"/>
      <c r="AH141" s="38"/>
      <c r="AJ141" s="39"/>
    </row>
    <row r="142" spans="4:36" s="36" customFormat="1" x14ac:dyDescent="0.25">
      <c r="D142" s="37"/>
      <c r="E142" s="38"/>
      <c r="F142" s="38"/>
      <c r="G142" s="38"/>
      <c r="H142" s="38"/>
      <c r="I142" s="38"/>
      <c r="J142" s="38"/>
      <c r="K142" s="38"/>
      <c r="M142" s="37"/>
      <c r="N142" s="37"/>
      <c r="O142" s="37"/>
      <c r="AD142" s="38"/>
      <c r="AE142" s="38"/>
      <c r="AF142" s="38"/>
      <c r="AG142" s="38"/>
      <c r="AH142" s="38"/>
      <c r="AJ142" s="39"/>
    </row>
    <row r="143" spans="4:36" s="36" customFormat="1" x14ac:dyDescent="0.25">
      <c r="D143" s="37"/>
      <c r="E143" s="38"/>
      <c r="F143" s="38"/>
      <c r="G143" s="38"/>
      <c r="H143" s="38"/>
      <c r="I143" s="38"/>
      <c r="J143" s="38"/>
      <c r="K143" s="38"/>
      <c r="M143" s="37"/>
      <c r="N143" s="37"/>
      <c r="O143" s="37"/>
      <c r="AD143" s="38"/>
      <c r="AE143" s="38"/>
      <c r="AF143" s="38"/>
      <c r="AG143" s="38"/>
      <c r="AH143" s="38"/>
      <c r="AJ143" s="39"/>
    </row>
    <row r="144" spans="4:36" s="36" customFormat="1" x14ac:dyDescent="0.25">
      <c r="D144" s="37"/>
      <c r="E144" s="38"/>
      <c r="F144" s="38"/>
      <c r="G144" s="38"/>
      <c r="H144" s="38"/>
      <c r="I144" s="38"/>
      <c r="J144" s="38"/>
      <c r="K144" s="38"/>
      <c r="M144" s="37"/>
      <c r="N144" s="37"/>
      <c r="O144" s="37"/>
      <c r="AD144" s="38"/>
      <c r="AE144" s="38"/>
      <c r="AF144" s="38"/>
      <c r="AG144" s="38"/>
      <c r="AH144" s="38"/>
      <c r="AJ144" s="39"/>
    </row>
    <row r="145" spans="4:36" s="36" customFormat="1" x14ac:dyDescent="0.25">
      <c r="D145" s="37"/>
      <c r="E145" s="38"/>
      <c r="F145" s="38"/>
      <c r="G145" s="38"/>
      <c r="H145" s="38"/>
      <c r="I145" s="38"/>
      <c r="J145" s="38"/>
      <c r="K145" s="38"/>
      <c r="M145" s="37"/>
      <c r="N145" s="37"/>
      <c r="O145" s="37"/>
      <c r="AD145" s="38"/>
      <c r="AE145" s="38"/>
      <c r="AF145" s="38"/>
      <c r="AG145" s="38"/>
      <c r="AH145" s="38"/>
      <c r="AJ145" s="39"/>
    </row>
    <row r="146" spans="4:36" s="36" customFormat="1" x14ac:dyDescent="0.25">
      <c r="D146" s="37"/>
      <c r="E146" s="38"/>
      <c r="F146" s="38"/>
      <c r="G146" s="38"/>
      <c r="H146" s="38"/>
      <c r="I146" s="38"/>
      <c r="J146" s="38"/>
      <c r="K146" s="38"/>
      <c r="M146" s="37"/>
      <c r="N146" s="37"/>
      <c r="O146" s="37"/>
      <c r="AD146" s="38"/>
      <c r="AE146" s="38"/>
      <c r="AF146" s="38"/>
      <c r="AG146" s="38"/>
      <c r="AH146" s="38"/>
      <c r="AJ146" s="39"/>
    </row>
    <row r="147" spans="4:36" s="36" customFormat="1" x14ac:dyDescent="0.25">
      <c r="D147" s="37"/>
      <c r="E147" s="38"/>
      <c r="F147" s="38"/>
      <c r="G147" s="38"/>
      <c r="H147" s="38"/>
      <c r="I147" s="38"/>
      <c r="J147" s="38"/>
      <c r="K147" s="38"/>
      <c r="M147" s="37"/>
      <c r="N147" s="37"/>
      <c r="O147" s="37"/>
      <c r="AD147" s="38"/>
      <c r="AE147" s="38"/>
      <c r="AF147" s="38"/>
      <c r="AG147" s="38"/>
      <c r="AH147" s="38"/>
      <c r="AJ147" s="39"/>
    </row>
    <row r="148" spans="4:36" s="36" customFormat="1" x14ac:dyDescent="0.25">
      <c r="D148" s="37"/>
      <c r="E148" s="38"/>
      <c r="F148" s="38"/>
      <c r="G148" s="38"/>
      <c r="H148" s="38"/>
      <c r="I148" s="38"/>
      <c r="J148" s="38"/>
      <c r="K148" s="38"/>
      <c r="M148" s="37"/>
      <c r="N148" s="37"/>
      <c r="O148" s="37"/>
      <c r="AD148" s="38"/>
      <c r="AE148" s="38"/>
      <c r="AF148" s="38"/>
      <c r="AG148" s="38"/>
      <c r="AH148" s="38"/>
      <c r="AJ148" s="39"/>
    </row>
    <row r="149" spans="4:36" s="36" customFormat="1" x14ac:dyDescent="0.25">
      <c r="D149" s="37"/>
      <c r="E149" s="38"/>
      <c r="F149" s="38"/>
      <c r="G149" s="38"/>
      <c r="H149" s="38"/>
      <c r="I149" s="38"/>
      <c r="J149" s="38"/>
      <c r="K149" s="38"/>
      <c r="M149" s="37"/>
      <c r="N149" s="37"/>
      <c r="O149" s="37"/>
      <c r="AD149" s="38"/>
      <c r="AE149" s="38"/>
      <c r="AF149" s="38"/>
      <c r="AG149" s="38"/>
      <c r="AH149" s="38"/>
      <c r="AJ149" s="39"/>
    </row>
    <row r="150" spans="4:36" s="36" customFormat="1" x14ac:dyDescent="0.25">
      <c r="D150" s="37"/>
      <c r="E150" s="38"/>
      <c r="F150" s="38"/>
      <c r="G150" s="38"/>
      <c r="H150" s="38"/>
      <c r="I150" s="38"/>
      <c r="J150" s="38"/>
      <c r="K150" s="38"/>
      <c r="M150" s="37"/>
      <c r="N150" s="37"/>
      <c r="O150" s="37"/>
      <c r="AD150" s="38"/>
      <c r="AE150" s="38"/>
      <c r="AF150" s="38"/>
      <c r="AG150" s="38"/>
      <c r="AH150" s="38"/>
      <c r="AJ150" s="39"/>
    </row>
    <row r="151" spans="4:36" s="36" customFormat="1" x14ac:dyDescent="0.25">
      <c r="D151" s="37"/>
      <c r="E151" s="38"/>
      <c r="F151" s="38"/>
      <c r="G151" s="38"/>
      <c r="H151" s="38"/>
      <c r="I151" s="38"/>
      <c r="J151" s="38"/>
      <c r="K151" s="38"/>
      <c r="M151" s="37"/>
      <c r="N151" s="37"/>
      <c r="O151" s="37"/>
      <c r="AD151" s="38"/>
      <c r="AE151" s="38"/>
      <c r="AF151" s="38"/>
      <c r="AG151" s="38"/>
      <c r="AH151" s="38"/>
      <c r="AJ151" s="39"/>
    </row>
    <row r="152" spans="4:36" s="36" customFormat="1" x14ac:dyDescent="0.25">
      <c r="D152" s="37"/>
      <c r="E152" s="38"/>
      <c r="F152" s="38"/>
      <c r="G152" s="38"/>
      <c r="H152" s="38"/>
      <c r="I152" s="38"/>
      <c r="J152" s="38"/>
      <c r="K152" s="38"/>
      <c r="M152" s="37"/>
      <c r="N152" s="37"/>
      <c r="O152" s="37"/>
      <c r="AD152" s="38"/>
      <c r="AE152" s="38"/>
      <c r="AF152" s="38"/>
      <c r="AG152" s="38"/>
      <c r="AH152" s="38"/>
      <c r="AJ152" s="39"/>
    </row>
    <row r="153" spans="4:36" s="36" customFormat="1" x14ac:dyDescent="0.25">
      <c r="D153" s="37"/>
      <c r="E153" s="38"/>
      <c r="F153" s="38"/>
      <c r="G153" s="38"/>
      <c r="H153" s="38"/>
      <c r="I153" s="38"/>
      <c r="J153" s="38"/>
      <c r="K153" s="38"/>
      <c r="M153" s="37"/>
      <c r="N153" s="37"/>
      <c r="O153" s="37"/>
      <c r="AD153" s="38"/>
      <c r="AE153" s="38"/>
      <c r="AF153" s="38"/>
      <c r="AG153" s="38"/>
      <c r="AH153" s="38"/>
      <c r="AJ153" s="39"/>
    </row>
    <row r="154" spans="4:36" s="36" customFormat="1" x14ac:dyDescent="0.25">
      <c r="D154" s="37"/>
      <c r="E154" s="38"/>
      <c r="F154" s="38"/>
      <c r="G154" s="38"/>
      <c r="H154" s="38"/>
      <c r="I154" s="38"/>
      <c r="J154" s="38"/>
      <c r="K154" s="38"/>
      <c r="M154" s="37"/>
      <c r="N154" s="37"/>
      <c r="O154" s="37"/>
      <c r="AD154" s="38"/>
      <c r="AE154" s="38"/>
      <c r="AF154" s="38"/>
      <c r="AG154" s="38"/>
      <c r="AH154" s="38"/>
      <c r="AJ154" s="39"/>
    </row>
    <row r="155" spans="4:36" s="36" customFormat="1" x14ac:dyDescent="0.25">
      <c r="D155" s="37"/>
      <c r="E155" s="38"/>
      <c r="F155" s="38"/>
      <c r="G155" s="38"/>
      <c r="H155" s="38"/>
      <c r="I155" s="38"/>
      <c r="J155" s="38"/>
      <c r="K155" s="38"/>
      <c r="M155" s="37"/>
      <c r="N155" s="37"/>
      <c r="O155" s="37"/>
      <c r="AD155" s="38"/>
      <c r="AE155" s="38"/>
      <c r="AF155" s="38"/>
      <c r="AG155" s="38"/>
      <c r="AH155" s="38"/>
      <c r="AJ155" s="39"/>
    </row>
    <row r="156" spans="4:36" s="36" customFormat="1" x14ac:dyDescent="0.25">
      <c r="D156" s="37"/>
      <c r="E156" s="38"/>
      <c r="F156" s="38"/>
      <c r="G156" s="38"/>
      <c r="H156" s="38"/>
      <c r="I156" s="38"/>
      <c r="J156" s="38"/>
      <c r="K156" s="38"/>
      <c r="M156" s="37"/>
      <c r="N156" s="37"/>
      <c r="O156" s="37"/>
      <c r="AD156" s="38"/>
      <c r="AE156" s="38"/>
      <c r="AF156" s="38"/>
      <c r="AG156" s="38"/>
      <c r="AH156" s="38"/>
      <c r="AJ156" s="39"/>
    </row>
    <row r="157" spans="4:36" s="36" customFormat="1" x14ac:dyDescent="0.25">
      <c r="D157" s="37"/>
      <c r="E157" s="38"/>
      <c r="F157" s="38"/>
      <c r="G157" s="38"/>
      <c r="H157" s="38"/>
      <c r="I157" s="38"/>
      <c r="J157" s="38"/>
      <c r="K157" s="38"/>
      <c r="M157" s="37"/>
      <c r="N157" s="37"/>
      <c r="O157" s="37"/>
      <c r="AD157" s="38"/>
      <c r="AE157" s="38"/>
      <c r="AF157" s="38"/>
      <c r="AG157" s="38"/>
      <c r="AH157" s="38"/>
      <c r="AJ157" s="39"/>
    </row>
    <row r="158" spans="4:36" s="36" customFormat="1" x14ac:dyDescent="0.25">
      <c r="D158" s="37"/>
      <c r="E158" s="38"/>
      <c r="F158" s="38"/>
      <c r="G158" s="38"/>
      <c r="H158" s="38"/>
      <c r="I158" s="38"/>
      <c r="J158" s="38"/>
      <c r="K158" s="38"/>
      <c r="M158" s="37"/>
      <c r="N158" s="37"/>
      <c r="O158" s="37"/>
      <c r="AD158" s="38"/>
      <c r="AE158" s="38"/>
      <c r="AF158" s="38"/>
      <c r="AG158" s="38"/>
      <c r="AH158" s="38"/>
      <c r="AJ158" s="39"/>
    </row>
    <row r="159" spans="4:36" s="36" customFormat="1" x14ac:dyDescent="0.25">
      <c r="D159" s="37"/>
      <c r="E159" s="38"/>
      <c r="F159" s="38"/>
      <c r="G159" s="38"/>
      <c r="H159" s="38"/>
      <c r="I159" s="38"/>
      <c r="J159" s="38"/>
      <c r="K159" s="38"/>
      <c r="M159" s="37"/>
      <c r="N159" s="37"/>
      <c r="O159" s="37"/>
      <c r="AD159" s="38"/>
      <c r="AE159" s="38"/>
      <c r="AF159" s="38"/>
      <c r="AG159" s="38"/>
      <c r="AH159" s="38"/>
      <c r="AJ159" s="39"/>
    </row>
    <row r="160" spans="4:36" s="36" customFormat="1" x14ac:dyDescent="0.25">
      <c r="D160" s="37"/>
      <c r="E160" s="38"/>
      <c r="F160" s="38"/>
      <c r="G160" s="38"/>
      <c r="H160" s="38"/>
      <c r="I160" s="38"/>
      <c r="J160" s="38"/>
      <c r="K160" s="38"/>
      <c r="M160" s="37"/>
      <c r="N160" s="37"/>
      <c r="O160" s="37"/>
      <c r="AD160" s="38"/>
      <c r="AE160" s="38"/>
      <c r="AF160" s="38"/>
      <c r="AG160" s="38"/>
      <c r="AH160" s="38"/>
      <c r="AJ160" s="39"/>
    </row>
    <row r="161" spans="4:36" s="36" customFormat="1" x14ac:dyDescent="0.25">
      <c r="D161" s="37"/>
      <c r="E161" s="38"/>
      <c r="F161" s="38"/>
      <c r="G161" s="38"/>
      <c r="H161" s="38"/>
      <c r="I161" s="38"/>
      <c r="J161" s="38"/>
      <c r="K161" s="38"/>
      <c r="M161" s="37"/>
      <c r="N161" s="37"/>
      <c r="O161" s="37"/>
      <c r="AD161" s="38"/>
      <c r="AE161" s="38"/>
      <c r="AF161" s="38"/>
      <c r="AG161" s="38"/>
      <c r="AH161" s="38"/>
      <c r="AJ161" s="39"/>
    </row>
    <row r="162" spans="4:36" s="36" customFormat="1" x14ac:dyDescent="0.25">
      <c r="D162" s="37"/>
      <c r="E162" s="38"/>
      <c r="F162" s="38"/>
      <c r="G162" s="38"/>
      <c r="H162" s="38"/>
      <c r="I162" s="38"/>
      <c r="J162" s="38"/>
      <c r="K162" s="38"/>
      <c r="M162" s="37"/>
      <c r="N162" s="37"/>
      <c r="O162" s="37"/>
      <c r="AD162" s="38"/>
      <c r="AE162" s="38"/>
      <c r="AF162" s="38"/>
      <c r="AG162" s="38"/>
      <c r="AH162" s="38"/>
      <c r="AJ162" s="39"/>
    </row>
    <row r="163" spans="4:36" s="36" customFormat="1" x14ac:dyDescent="0.25">
      <c r="D163" s="37"/>
      <c r="E163" s="38"/>
      <c r="F163" s="38"/>
      <c r="G163" s="38"/>
      <c r="H163" s="38"/>
      <c r="I163" s="38"/>
      <c r="J163" s="38"/>
      <c r="K163" s="38"/>
      <c r="M163" s="37"/>
      <c r="N163" s="37"/>
      <c r="O163" s="37"/>
      <c r="AD163" s="38"/>
      <c r="AE163" s="38"/>
      <c r="AF163" s="38"/>
      <c r="AG163" s="38"/>
      <c r="AH163" s="38"/>
      <c r="AJ163" s="39"/>
    </row>
    <row r="164" spans="4:36" s="36" customFormat="1" x14ac:dyDescent="0.25">
      <c r="D164" s="37"/>
      <c r="E164" s="38"/>
      <c r="F164" s="38"/>
      <c r="G164" s="38"/>
      <c r="H164" s="38"/>
      <c r="I164" s="38"/>
      <c r="J164" s="38"/>
      <c r="K164" s="38"/>
      <c r="M164" s="37"/>
      <c r="N164" s="37"/>
      <c r="O164" s="37"/>
      <c r="AD164" s="38"/>
      <c r="AE164" s="38"/>
      <c r="AF164" s="38"/>
      <c r="AG164" s="38"/>
      <c r="AH164" s="38"/>
      <c r="AJ164" s="39"/>
    </row>
    <row r="165" spans="4:36" s="36" customFormat="1" x14ac:dyDescent="0.25">
      <c r="D165" s="37"/>
      <c r="E165" s="38"/>
      <c r="F165" s="38"/>
      <c r="G165" s="38"/>
      <c r="H165" s="38"/>
      <c r="I165" s="38"/>
      <c r="J165" s="38"/>
      <c r="K165" s="38"/>
      <c r="M165" s="37"/>
      <c r="N165" s="37"/>
      <c r="O165" s="37"/>
      <c r="AD165" s="38"/>
      <c r="AE165" s="38"/>
      <c r="AF165" s="38"/>
      <c r="AG165" s="38"/>
      <c r="AH165" s="38"/>
      <c r="AJ165" s="39"/>
    </row>
    <row r="166" spans="4:36" s="36" customFormat="1" x14ac:dyDescent="0.25">
      <c r="D166" s="37"/>
      <c r="E166" s="38"/>
      <c r="F166" s="38"/>
      <c r="G166" s="38"/>
      <c r="H166" s="38"/>
      <c r="I166" s="38"/>
      <c r="J166" s="38"/>
      <c r="K166" s="38"/>
      <c r="M166" s="37"/>
      <c r="N166" s="37"/>
      <c r="O166" s="37"/>
      <c r="AD166" s="38"/>
      <c r="AE166" s="38"/>
      <c r="AF166" s="38"/>
      <c r="AG166" s="38"/>
      <c r="AH166" s="38"/>
      <c r="AJ166" s="39"/>
    </row>
    <row r="167" spans="4:36" s="36" customFormat="1" x14ac:dyDescent="0.25">
      <c r="D167" s="37"/>
      <c r="E167" s="38"/>
      <c r="F167" s="38"/>
      <c r="G167" s="38"/>
      <c r="H167" s="38"/>
      <c r="I167" s="38"/>
      <c r="J167" s="38"/>
      <c r="K167" s="38"/>
      <c r="M167" s="37"/>
      <c r="N167" s="37"/>
      <c r="O167" s="37"/>
      <c r="AD167" s="38"/>
      <c r="AE167" s="38"/>
      <c r="AF167" s="38"/>
      <c r="AG167" s="38"/>
      <c r="AH167" s="38"/>
      <c r="AJ167" s="39"/>
    </row>
    <row r="168" spans="4:36" s="36" customFormat="1" x14ac:dyDescent="0.25">
      <c r="D168" s="37"/>
      <c r="E168" s="38"/>
      <c r="F168" s="38"/>
      <c r="G168" s="38"/>
      <c r="H168" s="38"/>
      <c r="I168" s="38"/>
      <c r="J168" s="38"/>
      <c r="K168" s="38"/>
      <c r="M168" s="37"/>
      <c r="N168" s="37"/>
      <c r="O168" s="37"/>
      <c r="AD168" s="38"/>
      <c r="AE168" s="38"/>
      <c r="AF168" s="38"/>
      <c r="AG168" s="38"/>
      <c r="AH168" s="38"/>
      <c r="AJ168" s="39"/>
    </row>
    <row r="169" spans="4:36" s="36" customFormat="1" x14ac:dyDescent="0.25">
      <c r="D169" s="37"/>
      <c r="E169" s="38"/>
      <c r="F169" s="38"/>
      <c r="G169" s="38"/>
      <c r="H169" s="38"/>
      <c r="I169" s="38"/>
      <c r="J169" s="38"/>
      <c r="K169" s="38"/>
      <c r="M169" s="37"/>
      <c r="N169" s="37"/>
      <c r="O169" s="37"/>
      <c r="AD169" s="38"/>
      <c r="AE169" s="38"/>
      <c r="AF169" s="38"/>
      <c r="AG169" s="38"/>
      <c r="AH169" s="38"/>
      <c r="AJ169" s="39"/>
    </row>
    <row r="170" spans="4:36" s="36" customFormat="1" x14ac:dyDescent="0.25">
      <c r="D170" s="37"/>
      <c r="E170" s="38"/>
      <c r="F170" s="38"/>
      <c r="G170" s="38"/>
      <c r="H170" s="38"/>
      <c r="I170" s="38"/>
      <c r="J170" s="38"/>
      <c r="K170" s="38"/>
      <c r="M170" s="37"/>
      <c r="N170" s="37"/>
      <c r="O170" s="37"/>
      <c r="AD170" s="38"/>
      <c r="AE170" s="38"/>
      <c r="AF170" s="38"/>
      <c r="AG170" s="38"/>
      <c r="AH170" s="38"/>
      <c r="AJ170" s="39"/>
    </row>
    <row r="171" spans="4:36" s="36" customFormat="1" x14ac:dyDescent="0.25">
      <c r="D171" s="37"/>
      <c r="E171" s="38"/>
      <c r="F171" s="38"/>
      <c r="G171" s="38"/>
      <c r="H171" s="38"/>
      <c r="I171" s="38"/>
      <c r="J171" s="38"/>
      <c r="K171" s="38"/>
      <c r="M171" s="37"/>
      <c r="N171" s="37"/>
      <c r="O171" s="37"/>
      <c r="AD171" s="38"/>
      <c r="AE171" s="38"/>
      <c r="AF171" s="38"/>
      <c r="AG171" s="38"/>
      <c r="AH171" s="38"/>
      <c r="AJ171" s="39"/>
    </row>
    <row r="172" spans="4:36" s="36" customFormat="1" x14ac:dyDescent="0.25">
      <c r="D172" s="37"/>
      <c r="E172" s="38"/>
      <c r="F172" s="38"/>
      <c r="G172" s="38"/>
      <c r="H172" s="38"/>
      <c r="I172" s="38"/>
      <c r="J172" s="38"/>
      <c r="K172" s="38"/>
      <c r="M172" s="37"/>
      <c r="N172" s="37"/>
      <c r="O172" s="37"/>
      <c r="AD172" s="38"/>
      <c r="AE172" s="38"/>
      <c r="AF172" s="38"/>
      <c r="AG172" s="38"/>
      <c r="AH172" s="38"/>
      <c r="AJ172" s="39"/>
    </row>
    <row r="173" spans="4:36" s="36" customFormat="1" x14ac:dyDescent="0.25">
      <c r="D173" s="37"/>
      <c r="E173" s="38"/>
      <c r="F173" s="38"/>
      <c r="G173" s="38"/>
      <c r="H173" s="38"/>
      <c r="I173" s="38"/>
      <c r="J173" s="38"/>
      <c r="K173" s="38"/>
      <c r="M173" s="37"/>
      <c r="N173" s="37"/>
      <c r="O173" s="37"/>
      <c r="AD173" s="38"/>
      <c r="AE173" s="38"/>
      <c r="AF173" s="38"/>
      <c r="AG173" s="38"/>
      <c r="AH173" s="38"/>
      <c r="AJ173" s="39"/>
    </row>
    <row r="174" spans="4:36" s="36" customFormat="1" x14ac:dyDescent="0.25">
      <c r="D174" s="37"/>
      <c r="E174" s="38"/>
      <c r="F174" s="38"/>
      <c r="G174" s="38"/>
      <c r="H174" s="38"/>
      <c r="I174" s="38"/>
      <c r="J174" s="38"/>
      <c r="K174" s="38"/>
      <c r="M174" s="37"/>
      <c r="N174" s="37"/>
      <c r="O174" s="37"/>
      <c r="AD174" s="38"/>
      <c r="AE174" s="38"/>
      <c r="AF174" s="38"/>
      <c r="AG174" s="38"/>
      <c r="AH174" s="38"/>
      <c r="AJ174" s="39"/>
    </row>
    <row r="175" spans="4:36" s="36" customFormat="1" x14ac:dyDescent="0.25">
      <c r="D175" s="37"/>
      <c r="E175" s="38"/>
      <c r="F175" s="38"/>
      <c r="G175" s="38"/>
      <c r="H175" s="38"/>
      <c r="I175" s="38"/>
      <c r="J175" s="38"/>
      <c r="K175" s="38"/>
      <c r="M175" s="37"/>
      <c r="N175" s="37"/>
      <c r="O175" s="37"/>
      <c r="AD175" s="38"/>
      <c r="AE175" s="38"/>
      <c r="AF175" s="38"/>
      <c r="AG175" s="38"/>
      <c r="AH175" s="38"/>
      <c r="AJ175" s="39"/>
    </row>
    <row r="176" spans="4:36" s="36" customFormat="1" x14ac:dyDescent="0.25">
      <c r="D176" s="37"/>
      <c r="E176" s="38"/>
      <c r="F176" s="38"/>
      <c r="G176" s="38"/>
      <c r="H176" s="38"/>
      <c r="I176" s="38"/>
      <c r="J176" s="38"/>
      <c r="K176" s="38"/>
      <c r="M176" s="37"/>
      <c r="N176" s="37"/>
      <c r="O176" s="37"/>
      <c r="AD176" s="38"/>
      <c r="AE176" s="38"/>
      <c r="AF176" s="38"/>
      <c r="AG176" s="38"/>
      <c r="AH176" s="38"/>
      <c r="AJ176" s="39"/>
    </row>
    <row r="177" spans="4:36" s="36" customFormat="1" x14ac:dyDescent="0.25">
      <c r="D177" s="37"/>
      <c r="E177" s="38"/>
      <c r="F177" s="38"/>
      <c r="G177" s="38"/>
      <c r="H177" s="38"/>
      <c r="I177" s="38"/>
      <c r="J177" s="38"/>
      <c r="K177" s="38"/>
      <c r="M177" s="37"/>
      <c r="N177" s="37"/>
      <c r="O177" s="37"/>
      <c r="AD177" s="38"/>
      <c r="AE177" s="38"/>
      <c r="AF177" s="38"/>
      <c r="AG177" s="38"/>
      <c r="AH177" s="38"/>
      <c r="AJ177" s="39"/>
    </row>
    <row r="178" spans="4:36" s="36" customFormat="1" x14ac:dyDescent="0.25">
      <c r="D178" s="37"/>
      <c r="E178" s="38"/>
      <c r="F178" s="38"/>
      <c r="G178" s="38"/>
      <c r="H178" s="38"/>
      <c r="I178" s="38"/>
      <c r="J178" s="38"/>
      <c r="K178" s="38"/>
      <c r="M178" s="37"/>
      <c r="N178" s="37"/>
      <c r="O178" s="37"/>
      <c r="AD178" s="38"/>
      <c r="AE178" s="38"/>
      <c r="AF178" s="38"/>
      <c r="AG178" s="38"/>
      <c r="AH178" s="38"/>
      <c r="AJ178" s="39"/>
    </row>
    <row r="179" spans="4:36" s="36" customFormat="1" x14ac:dyDescent="0.25">
      <c r="D179" s="37"/>
      <c r="E179" s="38"/>
      <c r="F179" s="38"/>
      <c r="G179" s="38"/>
      <c r="H179" s="38"/>
      <c r="I179" s="38"/>
      <c r="J179" s="38"/>
      <c r="K179" s="38"/>
      <c r="M179" s="37"/>
      <c r="N179" s="37"/>
      <c r="O179" s="37"/>
      <c r="AD179" s="38"/>
      <c r="AE179" s="38"/>
      <c r="AF179" s="38"/>
      <c r="AG179" s="38"/>
      <c r="AH179" s="38"/>
      <c r="AJ179" s="39"/>
    </row>
    <row r="180" spans="4:36" s="36" customFormat="1" x14ac:dyDescent="0.25">
      <c r="D180" s="37"/>
      <c r="E180" s="38"/>
      <c r="F180" s="38"/>
      <c r="G180" s="38"/>
      <c r="H180" s="38"/>
      <c r="I180" s="38"/>
      <c r="J180" s="38"/>
      <c r="K180" s="38"/>
      <c r="M180" s="37"/>
      <c r="N180" s="37"/>
      <c r="O180" s="37"/>
      <c r="AD180" s="38"/>
      <c r="AE180" s="38"/>
      <c r="AF180" s="38"/>
      <c r="AG180" s="38"/>
      <c r="AH180" s="38"/>
      <c r="AJ180" s="39"/>
    </row>
    <row r="181" spans="4:36" s="36" customFormat="1" x14ac:dyDescent="0.25">
      <c r="D181" s="37"/>
      <c r="E181" s="38"/>
      <c r="F181" s="38"/>
      <c r="G181" s="38"/>
      <c r="H181" s="38"/>
      <c r="I181" s="38"/>
      <c r="J181" s="38"/>
      <c r="K181" s="38"/>
      <c r="M181" s="37"/>
      <c r="N181" s="37"/>
      <c r="O181" s="37"/>
      <c r="AD181" s="38"/>
      <c r="AE181" s="38"/>
      <c r="AF181" s="38"/>
      <c r="AG181" s="38"/>
      <c r="AH181" s="38"/>
      <c r="AJ181" s="39"/>
    </row>
    <row r="182" spans="4:36" s="36" customFormat="1" x14ac:dyDescent="0.25">
      <c r="D182" s="37"/>
      <c r="E182" s="38"/>
      <c r="F182" s="38"/>
      <c r="G182" s="38"/>
      <c r="H182" s="38"/>
      <c r="I182" s="38"/>
      <c r="J182" s="38"/>
      <c r="K182" s="38"/>
      <c r="M182" s="37"/>
      <c r="N182" s="37"/>
      <c r="O182" s="37"/>
      <c r="AD182" s="38"/>
      <c r="AE182" s="38"/>
      <c r="AF182" s="38"/>
      <c r="AG182" s="38"/>
      <c r="AH182" s="38"/>
      <c r="AJ182" s="39"/>
    </row>
    <row r="183" spans="4:36" s="36" customFormat="1" x14ac:dyDescent="0.25">
      <c r="D183" s="37"/>
      <c r="E183" s="38"/>
      <c r="F183" s="38"/>
      <c r="G183" s="38"/>
      <c r="H183" s="38"/>
      <c r="I183" s="38"/>
      <c r="J183" s="38"/>
      <c r="K183" s="38"/>
      <c r="M183" s="37"/>
      <c r="N183" s="37"/>
      <c r="O183" s="37"/>
      <c r="AD183" s="38"/>
      <c r="AE183" s="38"/>
      <c r="AF183" s="38"/>
      <c r="AG183" s="38"/>
      <c r="AH183" s="38"/>
      <c r="AJ183" s="39"/>
    </row>
    <row r="184" spans="4:36" s="36" customFormat="1" x14ac:dyDescent="0.25">
      <c r="D184" s="37"/>
      <c r="E184" s="38"/>
      <c r="F184" s="38"/>
      <c r="G184" s="38"/>
      <c r="H184" s="38"/>
      <c r="I184" s="38"/>
      <c r="J184" s="38"/>
      <c r="K184" s="38"/>
      <c r="M184" s="37"/>
      <c r="N184" s="37"/>
      <c r="O184" s="37"/>
      <c r="AD184" s="38"/>
      <c r="AE184" s="38"/>
      <c r="AF184" s="38"/>
      <c r="AG184" s="38"/>
      <c r="AH184" s="38"/>
      <c r="AJ184" s="39"/>
    </row>
    <row r="185" spans="4:36" s="36" customFormat="1" x14ac:dyDescent="0.25">
      <c r="D185" s="37"/>
      <c r="E185" s="38"/>
      <c r="F185" s="38"/>
      <c r="G185" s="38"/>
      <c r="H185" s="38"/>
      <c r="I185" s="38"/>
      <c r="J185" s="38"/>
      <c r="K185" s="38"/>
      <c r="M185" s="37"/>
      <c r="N185" s="37"/>
      <c r="O185" s="37"/>
      <c r="AD185" s="38"/>
      <c r="AE185" s="38"/>
      <c r="AF185" s="38"/>
      <c r="AG185" s="38"/>
      <c r="AH185" s="38"/>
      <c r="AJ185" s="39"/>
    </row>
    <row r="186" spans="4:36" s="36" customFormat="1" x14ac:dyDescent="0.25">
      <c r="D186" s="37"/>
      <c r="E186" s="38"/>
      <c r="F186" s="38"/>
      <c r="G186" s="38"/>
      <c r="H186" s="38"/>
      <c r="I186" s="38"/>
      <c r="J186" s="38"/>
      <c r="K186" s="38"/>
      <c r="M186" s="37"/>
      <c r="N186" s="37"/>
      <c r="O186" s="37"/>
      <c r="AD186" s="38"/>
      <c r="AE186" s="38"/>
      <c r="AF186" s="38"/>
      <c r="AG186" s="38"/>
      <c r="AH186" s="38"/>
      <c r="AJ186" s="39"/>
    </row>
    <row r="187" spans="4:36" s="36" customFormat="1" x14ac:dyDescent="0.25">
      <c r="D187" s="37"/>
      <c r="E187" s="38"/>
      <c r="F187" s="38"/>
      <c r="G187" s="38"/>
      <c r="H187" s="38"/>
      <c r="I187" s="38"/>
      <c r="J187" s="38"/>
      <c r="K187" s="38"/>
      <c r="M187" s="37"/>
      <c r="N187" s="37"/>
      <c r="O187" s="37"/>
      <c r="AD187" s="38"/>
      <c r="AE187" s="38"/>
      <c r="AF187" s="38"/>
      <c r="AG187" s="38"/>
      <c r="AH187" s="38"/>
      <c r="AJ187" s="39"/>
    </row>
    <row r="188" spans="4:36" s="36" customFormat="1" x14ac:dyDescent="0.25">
      <c r="D188" s="37"/>
      <c r="E188" s="38"/>
      <c r="F188" s="38"/>
      <c r="G188" s="38"/>
      <c r="H188" s="38"/>
      <c r="I188" s="38"/>
      <c r="J188" s="38"/>
      <c r="K188" s="38"/>
      <c r="M188" s="37"/>
      <c r="N188" s="37"/>
      <c r="O188" s="37"/>
      <c r="AD188" s="38"/>
      <c r="AE188" s="38"/>
      <c r="AF188" s="38"/>
      <c r="AG188" s="38"/>
      <c r="AH188" s="38"/>
      <c r="AJ188" s="39"/>
    </row>
    <row r="189" spans="4:36" s="36" customFormat="1" x14ac:dyDescent="0.25">
      <c r="D189" s="37"/>
      <c r="E189" s="38"/>
      <c r="F189" s="38"/>
      <c r="G189" s="38"/>
      <c r="H189" s="38"/>
      <c r="I189" s="38"/>
      <c r="J189" s="38"/>
      <c r="K189" s="38"/>
      <c r="M189" s="37"/>
      <c r="N189" s="37"/>
      <c r="O189" s="37"/>
      <c r="AD189" s="38"/>
      <c r="AE189" s="38"/>
      <c r="AF189" s="38"/>
      <c r="AG189" s="38"/>
      <c r="AH189" s="38"/>
      <c r="AJ189" s="39"/>
    </row>
    <row r="190" spans="4:36" s="36" customFormat="1" x14ac:dyDescent="0.25">
      <c r="D190" s="37"/>
      <c r="E190" s="38"/>
      <c r="F190" s="38"/>
      <c r="G190" s="38"/>
      <c r="H190" s="38"/>
      <c r="I190" s="38"/>
      <c r="J190" s="38"/>
      <c r="K190" s="38"/>
      <c r="M190" s="37"/>
      <c r="N190" s="37"/>
      <c r="O190" s="37"/>
      <c r="AD190" s="38"/>
      <c r="AE190" s="38"/>
      <c r="AF190" s="38"/>
      <c r="AG190" s="38"/>
      <c r="AH190" s="38"/>
      <c r="AJ190" s="39"/>
    </row>
    <row r="191" spans="4:36" s="36" customFormat="1" x14ac:dyDescent="0.25">
      <c r="D191" s="37"/>
      <c r="E191" s="38"/>
      <c r="F191" s="38"/>
      <c r="G191" s="38"/>
      <c r="H191" s="38"/>
      <c r="I191" s="38"/>
      <c r="J191" s="38"/>
      <c r="K191" s="38"/>
      <c r="M191" s="37"/>
      <c r="N191" s="37"/>
      <c r="O191" s="37"/>
      <c r="AD191" s="38"/>
      <c r="AE191" s="38"/>
      <c r="AF191" s="38"/>
      <c r="AG191" s="38"/>
      <c r="AH191" s="38"/>
      <c r="AJ191" s="39"/>
    </row>
    <row r="192" spans="4:36" s="36" customFormat="1" x14ac:dyDescent="0.25">
      <c r="D192" s="37"/>
      <c r="E192" s="38"/>
      <c r="F192" s="38"/>
      <c r="G192" s="38"/>
      <c r="H192" s="38"/>
      <c r="I192" s="38"/>
      <c r="J192" s="38"/>
      <c r="K192" s="38"/>
      <c r="M192" s="37"/>
      <c r="N192" s="37"/>
      <c r="O192" s="37"/>
      <c r="AD192" s="38"/>
      <c r="AE192" s="38"/>
      <c r="AF192" s="38"/>
      <c r="AG192" s="38"/>
      <c r="AH192" s="38"/>
      <c r="AJ192" s="39"/>
    </row>
    <row r="193" spans="4:36" s="36" customFormat="1" x14ac:dyDescent="0.25">
      <c r="D193" s="37"/>
      <c r="E193" s="38"/>
      <c r="F193" s="38"/>
      <c r="G193" s="38"/>
      <c r="H193" s="38"/>
      <c r="I193" s="38"/>
      <c r="J193" s="38"/>
      <c r="K193" s="38"/>
      <c r="M193" s="37"/>
      <c r="N193" s="37"/>
      <c r="O193" s="37"/>
      <c r="AD193" s="38"/>
      <c r="AE193" s="38"/>
      <c r="AF193" s="38"/>
      <c r="AG193" s="38"/>
      <c r="AH193" s="38"/>
      <c r="AJ193" s="39"/>
    </row>
    <row r="194" spans="4:36" s="36" customFormat="1" x14ac:dyDescent="0.25">
      <c r="D194" s="37"/>
      <c r="E194" s="38"/>
      <c r="F194" s="38"/>
      <c r="G194" s="38"/>
      <c r="H194" s="38"/>
      <c r="I194" s="38"/>
      <c r="J194" s="38"/>
      <c r="K194" s="38"/>
      <c r="M194" s="37"/>
      <c r="N194" s="37"/>
      <c r="O194" s="37"/>
      <c r="AD194" s="38"/>
      <c r="AE194" s="38"/>
      <c r="AF194" s="38"/>
      <c r="AG194" s="38"/>
      <c r="AH194" s="38"/>
      <c r="AJ194" s="39"/>
    </row>
    <row r="195" spans="4:36" s="36" customFormat="1" x14ac:dyDescent="0.25">
      <c r="D195" s="37"/>
      <c r="E195" s="38"/>
      <c r="F195" s="38"/>
      <c r="G195" s="38"/>
      <c r="H195" s="38"/>
      <c r="I195" s="38"/>
      <c r="J195" s="38"/>
      <c r="K195" s="38"/>
      <c r="M195" s="37"/>
      <c r="N195" s="37"/>
      <c r="O195" s="37"/>
      <c r="AD195" s="38"/>
      <c r="AE195" s="38"/>
      <c r="AF195" s="38"/>
      <c r="AG195" s="38"/>
      <c r="AH195" s="38"/>
      <c r="AJ195" s="39"/>
    </row>
    <row r="196" spans="4:36" s="36" customFormat="1" x14ac:dyDescent="0.25">
      <c r="D196" s="37"/>
      <c r="E196" s="38"/>
      <c r="F196" s="38"/>
      <c r="G196" s="38"/>
      <c r="H196" s="38"/>
      <c r="I196" s="38"/>
      <c r="J196" s="38"/>
      <c r="K196" s="38"/>
      <c r="M196" s="37"/>
      <c r="N196" s="37"/>
      <c r="O196" s="37"/>
      <c r="AD196" s="38"/>
      <c r="AE196" s="38"/>
      <c r="AF196" s="38"/>
      <c r="AG196" s="38"/>
      <c r="AH196" s="38"/>
      <c r="AJ196" s="39"/>
    </row>
    <row r="197" spans="4:36" s="36" customFormat="1" x14ac:dyDescent="0.25">
      <c r="D197" s="37"/>
      <c r="E197" s="38"/>
      <c r="F197" s="38"/>
      <c r="G197" s="38"/>
      <c r="H197" s="38"/>
      <c r="I197" s="38"/>
      <c r="J197" s="38"/>
      <c r="K197" s="38"/>
      <c r="M197" s="37"/>
      <c r="N197" s="37"/>
      <c r="O197" s="37"/>
      <c r="AD197" s="38"/>
      <c r="AE197" s="38"/>
      <c r="AF197" s="38"/>
      <c r="AG197" s="38"/>
      <c r="AH197" s="38"/>
      <c r="AJ197" s="39"/>
    </row>
    <row r="198" spans="4:36" s="36" customFormat="1" x14ac:dyDescent="0.25">
      <c r="D198" s="37"/>
      <c r="E198" s="38"/>
      <c r="F198" s="38"/>
      <c r="G198" s="38"/>
      <c r="H198" s="38"/>
      <c r="I198" s="38"/>
      <c r="J198" s="38"/>
      <c r="K198" s="38"/>
      <c r="M198" s="37"/>
      <c r="N198" s="37"/>
      <c r="O198" s="37"/>
      <c r="AD198" s="38"/>
      <c r="AE198" s="38"/>
      <c r="AF198" s="38"/>
      <c r="AG198" s="38"/>
      <c r="AH198" s="38"/>
      <c r="AJ198" s="39"/>
    </row>
    <row r="199" spans="4:36" s="36" customFormat="1" x14ac:dyDescent="0.25">
      <c r="D199" s="37"/>
      <c r="E199" s="38"/>
      <c r="F199" s="38"/>
      <c r="G199" s="38"/>
      <c r="H199" s="38"/>
      <c r="I199" s="38"/>
      <c r="J199" s="38"/>
      <c r="K199" s="38"/>
      <c r="M199" s="37"/>
      <c r="N199" s="37"/>
      <c r="O199" s="37"/>
      <c r="AD199" s="38"/>
      <c r="AE199" s="38"/>
      <c r="AF199" s="38"/>
      <c r="AG199" s="38"/>
      <c r="AH199" s="38"/>
      <c r="AJ199" s="39"/>
    </row>
    <row r="200" spans="4:36" s="36" customFormat="1" x14ac:dyDescent="0.25">
      <c r="D200" s="37"/>
      <c r="E200" s="38"/>
      <c r="F200" s="38"/>
      <c r="G200" s="38"/>
      <c r="H200" s="38"/>
      <c r="I200" s="38"/>
      <c r="J200" s="38"/>
      <c r="K200" s="38"/>
      <c r="M200" s="37"/>
      <c r="N200" s="37"/>
      <c r="O200" s="37"/>
      <c r="AD200" s="38"/>
      <c r="AE200" s="38"/>
      <c r="AF200" s="38"/>
      <c r="AG200" s="38"/>
      <c r="AH200" s="38"/>
      <c r="AJ200" s="39"/>
    </row>
    <row r="201" spans="4:36" s="36" customFormat="1" x14ac:dyDescent="0.25">
      <c r="D201" s="37"/>
      <c r="E201" s="38"/>
      <c r="F201" s="38"/>
      <c r="G201" s="38"/>
      <c r="H201" s="38"/>
      <c r="I201" s="38"/>
      <c r="J201" s="38"/>
      <c r="K201" s="38"/>
      <c r="M201" s="37"/>
      <c r="N201" s="37"/>
      <c r="O201" s="37"/>
      <c r="AD201" s="38"/>
      <c r="AE201" s="38"/>
      <c r="AF201" s="38"/>
      <c r="AG201" s="38"/>
      <c r="AH201" s="38"/>
      <c r="AJ201" s="39"/>
    </row>
    <row r="202" spans="4:36" s="36" customFormat="1" x14ac:dyDescent="0.25">
      <c r="D202" s="37"/>
      <c r="E202" s="38"/>
      <c r="F202" s="38"/>
      <c r="G202" s="38"/>
      <c r="H202" s="38"/>
      <c r="I202" s="38"/>
      <c r="J202" s="38"/>
      <c r="K202" s="38"/>
      <c r="M202" s="37"/>
      <c r="N202" s="37"/>
      <c r="O202" s="37"/>
      <c r="AD202" s="38"/>
      <c r="AE202" s="38"/>
      <c r="AF202" s="38"/>
      <c r="AG202" s="38"/>
      <c r="AH202" s="38"/>
      <c r="AJ202" s="39"/>
    </row>
    <row r="203" spans="4:36" s="36" customFormat="1" x14ac:dyDescent="0.25">
      <c r="D203" s="37"/>
      <c r="E203" s="38"/>
      <c r="F203" s="38"/>
      <c r="G203" s="38"/>
      <c r="H203" s="38"/>
      <c r="I203" s="38"/>
      <c r="J203" s="38"/>
      <c r="K203" s="38"/>
      <c r="M203" s="37"/>
      <c r="N203" s="37"/>
      <c r="O203" s="37"/>
      <c r="AD203" s="38"/>
      <c r="AE203" s="38"/>
      <c r="AF203" s="38"/>
      <c r="AG203" s="38"/>
      <c r="AH203" s="38"/>
      <c r="AJ203" s="39"/>
    </row>
    <row r="204" spans="4:36" s="36" customFormat="1" x14ac:dyDescent="0.25">
      <c r="D204" s="37"/>
      <c r="E204" s="38"/>
      <c r="F204" s="38"/>
      <c r="G204" s="38"/>
      <c r="H204" s="38"/>
      <c r="I204" s="38"/>
      <c r="J204" s="38"/>
      <c r="K204" s="38"/>
      <c r="M204" s="37"/>
      <c r="N204" s="37"/>
      <c r="O204" s="37"/>
      <c r="AD204" s="38"/>
      <c r="AE204" s="38"/>
      <c r="AF204" s="38"/>
      <c r="AG204" s="38"/>
      <c r="AH204" s="38"/>
      <c r="AJ204" s="39"/>
    </row>
    <row r="205" spans="4:36" s="36" customFormat="1" x14ac:dyDescent="0.25">
      <c r="D205" s="37"/>
      <c r="E205" s="38"/>
      <c r="F205" s="38"/>
      <c r="G205" s="38"/>
      <c r="H205" s="38"/>
      <c r="I205" s="38"/>
      <c r="J205" s="38"/>
      <c r="K205" s="38"/>
      <c r="M205" s="37"/>
      <c r="N205" s="37"/>
      <c r="O205" s="37"/>
      <c r="AD205" s="38"/>
      <c r="AE205" s="38"/>
      <c r="AF205" s="38"/>
      <c r="AG205" s="38"/>
      <c r="AH205" s="38"/>
      <c r="AJ205" s="39"/>
    </row>
    <row r="206" spans="4:36" s="36" customFormat="1" x14ac:dyDescent="0.25">
      <c r="D206" s="37"/>
      <c r="E206" s="38"/>
      <c r="F206" s="38"/>
      <c r="G206" s="38"/>
      <c r="H206" s="38"/>
      <c r="I206" s="38"/>
      <c r="J206" s="38"/>
      <c r="K206" s="38"/>
      <c r="M206" s="37"/>
      <c r="N206" s="37"/>
      <c r="O206" s="37"/>
      <c r="AD206" s="38"/>
      <c r="AE206" s="38"/>
      <c r="AF206" s="38"/>
      <c r="AG206" s="38"/>
      <c r="AH206" s="38"/>
      <c r="AJ206" s="39"/>
    </row>
    <row r="207" spans="4:36" s="36" customFormat="1" x14ac:dyDescent="0.25">
      <c r="D207" s="37"/>
      <c r="E207" s="38"/>
      <c r="F207" s="38"/>
      <c r="G207" s="38"/>
      <c r="H207" s="38"/>
      <c r="I207" s="38"/>
      <c r="J207" s="38"/>
      <c r="K207" s="38"/>
      <c r="M207" s="37"/>
      <c r="N207" s="37"/>
      <c r="O207" s="37"/>
      <c r="AD207" s="38"/>
      <c r="AE207" s="38"/>
      <c r="AF207" s="38"/>
      <c r="AG207" s="38"/>
      <c r="AH207" s="38"/>
      <c r="AJ207" s="39"/>
    </row>
    <row r="208" spans="4:36" s="36" customFormat="1" x14ac:dyDescent="0.25">
      <c r="D208" s="37"/>
      <c r="E208" s="38"/>
      <c r="F208" s="38"/>
      <c r="G208" s="38"/>
      <c r="H208" s="38"/>
      <c r="I208" s="38"/>
      <c r="J208" s="38"/>
      <c r="K208" s="38"/>
      <c r="M208" s="37"/>
      <c r="N208" s="37"/>
      <c r="O208" s="37"/>
      <c r="AD208" s="38"/>
      <c r="AE208" s="38"/>
      <c r="AF208" s="38"/>
      <c r="AG208" s="38"/>
      <c r="AH208" s="38"/>
      <c r="AJ208" s="39"/>
    </row>
    <row r="209" spans="4:36" s="36" customFormat="1" x14ac:dyDescent="0.25">
      <c r="D209" s="37"/>
      <c r="E209" s="38"/>
      <c r="F209" s="38"/>
      <c r="G209" s="38"/>
      <c r="H209" s="38"/>
      <c r="I209" s="38"/>
      <c r="J209" s="38"/>
      <c r="K209" s="38"/>
      <c r="M209" s="37"/>
      <c r="N209" s="37"/>
      <c r="O209" s="37"/>
      <c r="AD209" s="38"/>
      <c r="AE209" s="38"/>
      <c r="AF209" s="38"/>
      <c r="AG209" s="38"/>
      <c r="AH209" s="38"/>
      <c r="AJ209" s="39"/>
    </row>
    <row r="210" spans="4:36" s="36" customFormat="1" x14ac:dyDescent="0.25">
      <c r="D210" s="37"/>
      <c r="E210" s="38"/>
      <c r="F210" s="38"/>
      <c r="G210" s="38"/>
      <c r="H210" s="38"/>
      <c r="I210" s="38"/>
      <c r="J210" s="38"/>
      <c r="K210" s="38"/>
      <c r="M210" s="37"/>
      <c r="N210" s="37"/>
      <c r="O210" s="37"/>
      <c r="AD210" s="38"/>
      <c r="AE210" s="38"/>
      <c r="AF210" s="38"/>
      <c r="AG210" s="38"/>
      <c r="AH210" s="38"/>
      <c r="AJ210" s="39"/>
    </row>
    <row r="211" spans="4:36" s="36" customFormat="1" x14ac:dyDescent="0.25">
      <c r="D211" s="37"/>
      <c r="E211" s="38"/>
      <c r="F211" s="38"/>
      <c r="G211" s="38"/>
      <c r="H211" s="38"/>
      <c r="I211" s="38"/>
      <c r="J211" s="38"/>
      <c r="K211" s="38"/>
      <c r="M211" s="37"/>
      <c r="N211" s="37"/>
      <c r="O211" s="37"/>
      <c r="AD211" s="38"/>
      <c r="AE211" s="38"/>
      <c r="AF211" s="38"/>
      <c r="AG211" s="38"/>
      <c r="AH211" s="38"/>
      <c r="AJ211" s="39"/>
    </row>
    <row r="212" spans="4:36" s="36" customFormat="1" x14ac:dyDescent="0.25">
      <c r="D212" s="37"/>
      <c r="E212" s="38"/>
      <c r="F212" s="38"/>
      <c r="G212" s="38"/>
      <c r="H212" s="38"/>
      <c r="I212" s="38"/>
      <c r="J212" s="38"/>
      <c r="K212" s="38"/>
      <c r="M212" s="37"/>
      <c r="N212" s="37"/>
      <c r="O212" s="37"/>
      <c r="AD212" s="38"/>
      <c r="AE212" s="38"/>
      <c r="AF212" s="38"/>
      <c r="AG212" s="38"/>
      <c r="AH212" s="38"/>
      <c r="AJ212" s="39"/>
    </row>
    <row r="213" spans="4:36" s="36" customFormat="1" x14ac:dyDescent="0.25">
      <c r="D213" s="37"/>
      <c r="E213" s="38"/>
      <c r="F213" s="38"/>
      <c r="G213" s="38"/>
      <c r="H213" s="38"/>
      <c r="I213" s="38"/>
      <c r="J213" s="38"/>
      <c r="K213" s="38"/>
      <c r="M213" s="37"/>
      <c r="N213" s="37"/>
      <c r="O213" s="37"/>
      <c r="AD213" s="38"/>
      <c r="AE213" s="38"/>
      <c r="AF213" s="38"/>
      <c r="AG213" s="38"/>
      <c r="AH213" s="38"/>
      <c r="AJ213" s="39"/>
    </row>
    <row r="214" spans="4:36" s="36" customFormat="1" x14ac:dyDescent="0.25">
      <c r="D214" s="37"/>
      <c r="E214" s="38"/>
      <c r="F214" s="38"/>
      <c r="G214" s="38"/>
      <c r="H214" s="38"/>
      <c r="I214" s="38"/>
      <c r="J214" s="38"/>
      <c r="K214" s="38"/>
      <c r="M214" s="37"/>
      <c r="N214" s="37"/>
      <c r="O214" s="37"/>
      <c r="AD214" s="38"/>
      <c r="AE214" s="38"/>
      <c r="AF214" s="38"/>
      <c r="AG214" s="38"/>
      <c r="AH214" s="38"/>
      <c r="AJ214" s="39"/>
    </row>
    <row r="215" spans="4:36" s="36" customFormat="1" x14ac:dyDescent="0.25">
      <c r="D215" s="37"/>
      <c r="E215" s="38"/>
      <c r="F215" s="38"/>
      <c r="G215" s="38"/>
      <c r="H215" s="38"/>
      <c r="I215" s="38"/>
      <c r="J215" s="38"/>
      <c r="K215" s="38"/>
      <c r="M215" s="37"/>
      <c r="N215" s="37"/>
      <c r="O215" s="37"/>
      <c r="AD215" s="38"/>
      <c r="AE215" s="38"/>
      <c r="AF215" s="38"/>
      <c r="AG215" s="38"/>
      <c r="AH215" s="38"/>
      <c r="AJ215" s="39"/>
    </row>
    <row r="216" spans="4:36" s="36" customFormat="1" x14ac:dyDescent="0.25">
      <c r="D216" s="37"/>
      <c r="E216" s="38"/>
      <c r="F216" s="38"/>
      <c r="G216" s="38"/>
      <c r="H216" s="38"/>
      <c r="I216" s="38"/>
      <c r="J216" s="38"/>
      <c r="K216" s="38"/>
      <c r="M216" s="37"/>
      <c r="N216" s="37"/>
      <c r="O216" s="37"/>
      <c r="AD216" s="38"/>
      <c r="AE216" s="38"/>
      <c r="AF216" s="38"/>
      <c r="AG216" s="38"/>
      <c r="AH216" s="38"/>
      <c r="AJ216" s="39"/>
    </row>
    <row r="217" spans="4:36" s="36" customFormat="1" x14ac:dyDescent="0.25">
      <c r="D217" s="37"/>
      <c r="E217" s="38"/>
      <c r="F217" s="38"/>
      <c r="G217" s="38"/>
      <c r="H217" s="38"/>
      <c r="I217" s="38"/>
      <c r="J217" s="38"/>
      <c r="K217" s="38"/>
      <c r="M217" s="37"/>
      <c r="N217" s="37"/>
      <c r="O217" s="37"/>
      <c r="AD217" s="38"/>
      <c r="AE217" s="38"/>
      <c r="AF217" s="38"/>
      <c r="AG217" s="38"/>
      <c r="AH217" s="38"/>
      <c r="AJ217" s="39"/>
    </row>
    <row r="218" spans="4:36" s="36" customFormat="1" x14ac:dyDescent="0.25">
      <c r="D218" s="37"/>
      <c r="E218" s="38"/>
      <c r="F218" s="38"/>
      <c r="G218" s="38"/>
      <c r="H218" s="38"/>
      <c r="I218" s="38"/>
      <c r="J218" s="38"/>
      <c r="K218" s="38"/>
      <c r="M218" s="37"/>
      <c r="N218" s="37"/>
      <c r="O218" s="37"/>
      <c r="AD218" s="38"/>
      <c r="AE218" s="38"/>
      <c r="AF218" s="38"/>
      <c r="AG218" s="38"/>
      <c r="AH218" s="38"/>
      <c r="AJ218" s="39"/>
    </row>
    <row r="219" spans="4:36" s="36" customFormat="1" x14ac:dyDescent="0.25">
      <c r="D219" s="37"/>
      <c r="E219" s="38"/>
      <c r="F219" s="38"/>
      <c r="G219" s="38"/>
      <c r="H219" s="38"/>
      <c r="I219" s="38"/>
      <c r="J219" s="38"/>
      <c r="K219" s="38"/>
      <c r="M219" s="37"/>
      <c r="N219" s="37"/>
      <c r="O219" s="37"/>
      <c r="AD219" s="38"/>
      <c r="AE219" s="38"/>
      <c r="AF219" s="38"/>
      <c r="AG219" s="38"/>
      <c r="AH219" s="38"/>
      <c r="AJ219" s="39"/>
    </row>
    <row r="220" spans="4:36" s="36" customFormat="1" x14ac:dyDescent="0.25">
      <c r="D220" s="37"/>
      <c r="E220" s="38"/>
      <c r="F220" s="38"/>
      <c r="G220" s="38"/>
      <c r="H220" s="38"/>
      <c r="I220" s="38"/>
      <c r="J220" s="38"/>
      <c r="K220" s="38"/>
      <c r="M220" s="37"/>
      <c r="N220" s="37"/>
      <c r="O220" s="37"/>
      <c r="AD220" s="38"/>
      <c r="AE220" s="38"/>
      <c r="AF220" s="38"/>
      <c r="AG220" s="38"/>
      <c r="AH220" s="38"/>
      <c r="AJ220" s="39"/>
    </row>
    <row r="221" spans="4:36" s="36" customFormat="1" x14ac:dyDescent="0.25">
      <c r="D221" s="37"/>
      <c r="E221" s="38"/>
      <c r="F221" s="38"/>
      <c r="G221" s="38"/>
      <c r="H221" s="38"/>
      <c r="I221" s="38"/>
      <c r="J221" s="38"/>
      <c r="K221" s="38"/>
      <c r="M221" s="37"/>
      <c r="N221" s="37"/>
      <c r="O221" s="37"/>
      <c r="AD221" s="38"/>
      <c r="AE221" s="38"/>
      <c r="AF221" s="38"/>
      <c r="AG221" s="38"/>
      <c r="AH221" s="38"/>
      <c r="AJ221" s="39"/>
    </row>
    <row r="222" spans="4:36" s="36" customFormat="1" x14ac:dyDescent="0.25">
      <c r="D222" s="37"/>
      <c r="E222" s="38"/>
      <c r="F222" s="38"/>
      <c r="G222" s="38"/>
      <c r="H222" s="38"/>
      <c r="I222" s="38"/>
      <c r="J222" s="38"/>
      <c r="K222" s="38"/>
      <c r="M222" s="37"/>
      <c r="N222" s="37"/>
      <c r="O222" s="37"/>
      <c r="AD222" s="38"/>
      <c r="AE222" s="38"/>
      <c r="AF222" s="38"/>
      <c r="AG222" s="38"/>
      <c r="AH222" s="38"/>
      <c r="AJ222" s="39"/>
    </row>
    <row r="223" spans="4:36" s="36" customFormat="1" x14ac:dyDescent="0.25">
      <c r="D223" s="37"/>
      <c r="E223" s="38"/>
      <c r="F223" s="38"/>
      <c r="G223" s="38"/>
      <c r="H223" s="38"/>
      <c r="I223" s="38"/>
      <c r="J223" s="38"/>
      <c r="K223" s="38"/>
      <c r="M223" s="37"/>
      <c r="N223" s="37"/>
      <c r="O223" s="37"/>
      <c r="AD223" s="38"/>
      <c r="AE223" s="38"/>
      <c r="AF223" s="38"/>
      <c r="AG223" s="38"/>
      <c r="AH223" s="38"/>
      <c r="AJ223" s="39"/>
    </row>
    <row r="224" spans="4:36" s="36" customFormat="1" x14ac:dyDescent="0.25">
      <c r="D224" s="37"/>
      <c r="E224" s="38"/>
      <c r="F224" s="38"/>
      <c r="G224" s="38"/>
      <c r="H224" s="38"/>
      <c r="I224" s="38"/>
      <c r="J224" s="38"/>
      <c r="K224" s="38"/>
      <c r="M224" s="37"/>
      <c r="N224" s="37"/>
      <c r="O224" s="37"/>
      <c r="AD224" s="38"/>
      <c r="AE224" s="38"/>
      <c r="AF224" s="38"/>
      <c r="AG224" s="38"/>
      <c r="AH224" s="38"/>
      <c r="AJ224" s="39"/>
    </row>
    <row r="225" spans="4:36" s="36" customFormat="1" x14ac:dyDescent="0.25">
      <c r="D225" s="37"/>
      <c r="E225" s="38"/>
      <c r="F225" s="38"/>
      <c r="G225" s="38"/>
      <c r="H225" s="38"/>
      <c r="I225" s="38"/>
      <c r="J225" s="38"/>
      <c r="K225" s="38"/>
      <c r="M225" s="37"/>
      <c r="N225" s="37"/>
      <c r="O225" s="37"/>
      <c r="AD225" s="38"/>
      <c r="AE225" s="38"/>
      <c r="AF225" s="38"/>
      <c r="AG225" s="38"/>
      <c r="AH225" s="38"/>
      <c r="AJ225" s="39"/>
    </row>
    <row r="226" spans="4:36" s="36" customFormat="1" x14ac:dyDescent="0.25">
      <c r="D226" s="37"/>
      <c r="E226" s="38"/>
      <c r="F226" s="38"/>
      <c r="G226" s="38"/>
      <c r="H226" s="38"/>
      <c r="I226" s="38"/>
      <c r="J226" s="38"/>
      <c r="K226" s="38"/>
      <c r="M226" s="37"/>
      <c r="N226" s="37"/>
      <c r="O226" s="37"/>
      <c r="AD226" s="38"/>
      <c r="AE226" s="38"/>
      <c r="AF226" s="38"/>
      <c r="AG226" s="38"/>
      <c r="AH226" s="38"/>
      <c r="AJ226" s="39"/>
    </row>
    <row r="227" spans="4:36" s="36" customFormat="1" x14ac:dyDescent="0.25">
      <c r="D227" s="37"/>
      <c r="E227" s="38"/>
      <c r="F227" s="38"/>
      <c r="G227" s="38"/>
      <c r="H227" s="38"/>
      <c r="I227" s="38"/>
      <c r="J227" s="38"/>
      <c r="K227" s="38"/>
      <c r="M227" s="37"/>
      <c r="N227" s="37"/>
      <c r="O227" s="37"/>
      <c r="AD227" s="38"/>
      <c r="AE227" s="38"/>
      <c r="AF227" s="38"/>
      <c r="AG227" s="38"/>
      <c r="AH227" s="38"/>
      <c r="AJ227" s="39"/>
    </row>
    <row r="228" spans="4:36" s="36" customFormat="1" x14ac:dyDescent="0.25">
      <c r="D228" s="37"/>
      <c r="E228" s="38"/>
      <c r="F228" s="38"/>
      <c r="G228" s="38"/>
      <c r="H228" s="38"/>
      <c r="I228" s="38"/>
      <c r="J228" s="38"/>
      <c r="K228" s="38"/>
      <c r="M228" s="37"/>
      <c r="N228" s="37"/>
      <c r="O228" s="37"/>
      <c r="AD228" s="38"/>
      <c r="AE228" s="38"/>
      <c r="AF228" s="38"/>
      <c r="AG228" s="38"/>
      <c r="AH228" s="38"/>
      <c r="AJ228" s="39"/>
    </row>
    <row r="229" spans="4:36" s="36" customFormat="1" x14ac:dyDescent="0.25">
      <c r="D229" s="37"/>
      <c r="E229" s="38"/>
      <c r="F229" s="38"/>
      <c r="G229" s="38"/>
      <c r="H229" s="38"/>
      <c r="I229" s="38"/>
      <c r="J229" s="38"/>
      <c r="K229" s="38"/>
      <c r="M229" s="37"/>
      <c r="N229" s="37"/>
      <c r="O229" s="37"/>
      <c r="AD229" s="38"/>
      <c r="AE229" s="38"/>
      <c r="AF229" s="38"/>
      <c r="AG229" s="38"/>
      <c r="AH229" s="38"/>
      <c r="AJ229" s="39"/>
    </row>
    <row r="230" spans="4:36" s="36" customFormat="1" x14ac:dyDescent="0.25">
      <c r="D230" s="37"/>
      <c r="E230" s="38"/>
      <c r="F230" s="38"/>
      <c r="G230" s="38"/>
      <c r="H230" s="38"/>
      <c r="I230" s="38"/>
      <c r="J230" s="38"/>
      <c r="K230" s="38"/>
      <c r="M230" s="37"/>
      <c r="N230" s="37"/>
      <c r="O230" s="37"/>
      <c r="AD230" s="38"/>
      <c r="AE230" s="38"/>
      <c r="AF230" s="38"/>
      <c r="AG230" s="38"/>
      <c r="AH230" s="38"/>
      <c r="AJ230" s="39"/>
    </row>
    <row r="231" spans="4:36" s="36" customFormat="1" x14ac:dyDescent="0.25">
      <c r="D231" s="37"/>
      <c r="E231" s="38"/>
      <c r="F231" s="38"/>
      <c r="G231" s="38"/>
      <c r="H231" s="38"/>
      <c r="I231" s="38"/>
      <c r="J231" s="38"/>
      <c r="K231" s="38"/>
      <c r="M231" s="37"/>
      <c r="N231" s="37"/>
      <c r="O231" s="37"/>
      <c r="AD231" s="38"/>
      <c r="AE231" s="38"/>
      <c r="AF231" s="38"/>
      <c r="AG231" s="38"/>
      <c r="AH231" s="38"/>
      <c r="AJ231" s="39"/>
    </row>
    <row r="232" spans="4:36" s="36" customFormat="1" x14ac:dyDescent="0.25">
      <c r="D232" s="37"/>
      <c r="E232" s="38"/>
      <c r="F232" s="38"/>
      <c r="G232" s="38"/>
      <c r="H232" s="38"/>
      <c r="I232" s="38"/>
      <c r="J232" s="38"/>
      <c r="K232" s="38"/>
      <c r="M232" s="37"/>
      <c r="N232" s="37"/>
      <c r="O232" s="37"/>
      <c r="AD232" s="38"/>
      <c r="AE232" s="38"/>
      <c r="AF232" s="38"/>
      <c r="AG232" s="38"/>
      <c r="AH232" s="38"/>
      <c r="AJ232" s="39"/>
    </row>
    <row r="233" spans="4:36" s="36" customFormat="1" x14ac:dyDescent="0.25">
      <c r="D233" s="37"/>
      <c r="E233" s="38"/>
      <c r="F233" s="38"/>
      <c r="G233" s="38"/>
      <c r="H233" s="38"/>
      <c r="I233" s="38"/>
      <c r="J233" s="38"/>
      <c r="K233" s="38"/>
      <c r="M233" s="37"/>
      <c r="N233" s="37"/>
      <c r="O233" s="37"/>
      <c r="AD233" s="38"/>
      <c r="AE233" s="38"/>
      <c r="AF233" s="38"/>
      <c r="AG233" s="38"/>
      <c r="AH233" s="38"/>
      <c r="AJ233" s="39"/>
    </row>
    <row r="234" spans="4:36" s="36" customFormat="1" x14ac:dyDescent="0.25">
      <c r="D234" s="37"/>
      <c r="E234" s="38"/>
      <c r="F234" s="38"/>
      <c r="G234" s="38"/>
      <c r="H234" s="38"/>
      <c r="I234" s="38"/>
      <c r="J234" s="38"/>
      <c r="K234" s="38"/>
      <c r="M234" s="37"/>
      <c r="N234" s="37"/>
      <c r="O234" s="37"/>
      <c r="AD234" s="38"/>
      <c r="AE234" s="38"/>
      <c r="AF234" s="38"/>
      <c r="AG234" s="38"/>
      <c r="AH234" s="38"/>
      <c r="AJ234" s="39"/>
    </row>
    <row r="235" spans="4:36" s="36" customFormat="1" x14ac:dyDescent="0.25">
      <c r="D235" s="37"/>
      <c r="E235" s="38"/>
      <c r="F235" s="38"/>
      <c r="G235" s="38"/>
      <c r="H235" s="38"/>
      <c r="I235" s="38"/>
      <c r="J235" s="38"/>
      <c r="K235" s="38"/>
      <c r="M235" s="37"/>
      <c r="N235" s="37"/>
      <c r="O235" s="37"/>
      <c r="AD235" s="38"/>
      <c r="AE235" s="38"/>
      <c r="AF235" s="38"/>
      <c r="AG235" s="38"/>
      <c r="AH235" s="38"/>
      <c r="AJ235" s="39"/>
    </row>
    <row r="236" spans="4:36" s="36" customFormat="1" x14ac:dyDescent="0.25">
      <c r="D236" s="37"/>
      <c r="E236" s="38"/>
      <c r="F236" s="38"/>
      <c r="G236" s="38"/>
      <c r="H236" s="38"/>
      <c r="I236" s="38"/>
      <c r="J236" s="38"/>
      <c r="K236" s="38"/>
      <c r="M236" s="37"/>
      <c r="N236" s="37"/>
      <c r="O236" s="37"/>
      <c r="AD236" s="38"/>
      <c r="AE236" s="38"/>
      <c r="AF236" s="38"/>
      <c r="AG236" s="38"/>
      <c r="AH236" s="38"/>
      <c r="AJ236" s="39"/>
    </row>
    <row r="237" spans="4:36" s="36" customFormat="1" x14ac:dyDescent="0.25">
      <c r="D237" s="37"/>
      <c r="E237" s="38"/>
      <c r="F237" s="38"/>
      <c r="G237" s="38"/>
      <c r="H237" s="38"/>
      <c r="I237" s="38"/>
      <c r="J237" s="38"/>
      <c r="K237" s="38"/>
      <c r="M237" s="37"/>
      <c r="N237" s="37"/>
      <c r="O237" s="37"/>
      <c r="AD237" s="38"/>
      <c r="AE237" s="38"/>
      <c r="AF237" s="38"/>
      <c r="AG237" s="38"/>
      <c r="AH237" s="38"/>
      <c r="AJ237" s="39"/>
    </row>
    <row r="238" spans="4:36" s="36" customFormat="1" x14ac:dyDescent="0.25">
      <c r="D238" s="37"/>
      <c r="E238" s="38"/>
      <c r="F238" s="38"/>
      <c r="G238" s="38"/>
      <c r="H238" s="38"/>
      <c r="I238" s="38"/>
      <c r="J238" s="38"/>
      <c r="K238" s="38"/>
      <c r="M238" s="37"/>
      <c r="N238" s="37"/>
      <c r="O238" s="37"/>
      <c r="AD238" s="38"/>
      <c r="AE238" s="38"/>
      <c r="AF238" s="38"/>
      <c r="AG238" s="38"/>
      <c r="AH238" s="38"/>
      <c r="AJ238" s="39"/>
    </row>
    <row r="239" spans="4:36" s="36" customFormat="1" x14ac:dyDescent="0.25">
      <c r="D239" s="37"/>
      <c r="E239" s="38"/>
      <c r="F239" s="38"/>
      <c r="G239" s="38"/>
      <c r="H239" s="38"/>
      <c r="I239" s="38"/>
      <c r="J239" s="38"/>
      <c r="K239" s="38"/>
      <c r="M239" s="37"/>
      <c r="N239" s="37"/>
      <c r="O239" s="37"/>
      <c r="AD239" s="38"/>
      <c r="AE239" s="38"/>
      <c r="AF239" s="38"/>
      <c r="AG239" s="38"/>
      <c r="AH239" s="38"/>
      <c r="AJ239" s="39"/>
    </row>
    <row r="240" spans="4:36" s="36" customFormat="1" x14ac:dyDescent="0.25">
      <c r="D240" s="37"/>
      <c r="E240" s="38"/>
      <c r="F240" s="38"/>
      <c r="G240" s="38"/>
      <c r="H240" s="38"/>
      <c r="I240" s="38"/>
      <c r="J240" s="38"/>
      <c r="K240" s="38"/>
      <c r="M240" s="37"/>
      <c r="N240" s="37"/>
      <c r="O240" s="37"/>
      <c r="AD240" s="38"/>
      <c r="AE240" s="38"/>
      <c r="AF240" s="38"/>
      <c r="AG240" s="38"/>
      <c r="AH240" s="38"/>
      <c r="AJ240" s="39"/>
    </row>
    <row r="241" spans="4:36" s="36" customFormat="1" x14ac:dyDescent="0.25">
      <c r="D241" s="37"/>
      <c r="E241" s="38"/>
      <c r="F241" s="38"/>
      <c r="G241" s="38"/>
      <c r="H241" s="38"/>
      <c r="I241" s="38"/>
      <c r="J241" s="38"/>
      <c r="K241" s="38"/>
      <c r="M241" s="37"/>
      <c r="N241" s="37"/>
      <c r="O241" s="37"/>
      <c r="AD241" s="38"/>
      <c r="AE241" s="38"/>
      <c r="AF241" s="38"/>
      <c r="AG241" s="38"/>
      <c r="AH241" s="38"/>
      <c r="AJ241" s="39"/>
    </row>
    <row r="242" spans="4:36" s="36" customFormat="1" x14ac:dyDescent="0.25">
      <c r="D242" s="37"/>
      <c r="E242" s="38"/>
      <c r="F242" s="38"/>
      <c r="G242" s="38"/>
      <c r="H242" s="38"/>
      <c r="I242" s="38"/>
      <c r="J242" s="38"/>
      <c r="K242" s="38"/>
      <c r="M242" s="37"/>
      <c r="N242" s="37"/>
      <c r="O242" s="37"/>
      <c r="AD242" s="38"/>
      <c r="AE242" s="38"/>
      <c r="AF242" s="38"/>
      <c r="AG242" s="38"/>
      <c r="AH242" s="38"/>
      <c r="AJ242" s="39"/>
    </row>
    <row r="243" spans="4:36" s="36" customFormat="1" x14ac:dyDescent="0.25">
      <c r="D243" s="37"/>
      <c r="E243" s="38"/>
      <c r="F243" s="38"/>
      <c r="G243" s="38"/>
      <c r="H243" s="38"/>
      <c r="I243" s="38"/>
      <c r="J243" s="38"/>
      <c r="K243" s="38"/>
      <c r="M243" s="37"/>
      <c r="N243" s="37"/>
      <c r="O243" s="37"/>
      <c r="AD243" s="38"/>
      <c r="AE243" s="38"/>
      <c r="AF243" s="38"/>
      <c r="AG243" s="38"/>
      <c r="AH243" s="38"/>
      <c r="AJ243" s="39"/>
    </row>
    <row r="244" spans="4:36" s="36" customFormat="1" x14ac:dyDescent="0.25">
      <c r="D244" s="37"/>
      <c r="E244" s="38"/>
      <c r="F244" s="38"/>
      <c r="G244" s="38"/>
      <c r="H244" s="38"/>
      <c r="I244" s="38"/>
      <c r="J244" s="38"/>
      <c r="K244" s="38"/>
      <c r="M244" s="37"/>
      <c r="N244" s="37"/>
      <c r="O244" s="37"/>
      <c r="AD244" s="38"/>
      <c r="AE244" s="38"/>
      <c r="AF244" s="38"/>
      <c r="AG244" s="38"/>
      <c r="AH244" s="38"/>
      <c r="AJ244" s="39"/>
    </row>
    <row r="245" spans="4:36" s="36" customFormat="1" x14ac:dyDescent="0.25">
      <c r="D245" s="37"/>
      <c r="E245" s="38"/>
      <c r="F245" s="38"/>
      <c r="G245" s="38"/>
      <c r="H245" s="38"/>
      <c r="I245" s="38"/>
      <c r="J245" s="38"/>
      <c r="K245" s="38"/>
      <c r="M245" s="37"/>
      <c r="N245" s="37"/>
      <c r="O245" s="37"/>
      <c r="AD245" s="38"/>
      <c r="AE245" s="38"/>
      <c r="AF245" s="38"/>
      <c r="AG245" s="38"/>
      <c r="AH245" s="38"/>
      <c r="AJ245" s="39"/>
    </row>
    <row r="246" spans="4:36" s="36" customFormat="1" x14ac:dyDescent="0.25">
      <c r="D246" s="37"/>
      <c r="E246" s="38"/>
      <c r="F246" s="38"/>
      <c r="G246" s="38"/>
      <c r="H246" s="38"/>
      <c r="I246" s="38"/>
      <c r="J246" s="38"/>
      <c r="K246" s="38"/>
      <c r="M246" s="37"/>
      <c r="N246" s="37"/>
      <c r="O246" s="37"/>
      <c r="AD246" s="38"/>
      <c r="AE246" s="38"/>
      <c r="AF246" s="38"/>
      <c r="AG246" s="38"/>
      <c r="AH246" s="38"/>
      <c r="AJ246" s="39"/>
    </row>
    <row r="247" spans="4:36" s="36" customFormat="1" x14ac:dyDescent="0.25">
      <c r="D247" s="37"/>
      <c r="E247" s="38"/>
      <c r="F247" s="38"/>
      <c r="G247" s="38"/>
      <c r="H247" s="38"/>
      <c r="I247" s="38"/>
      <c r="J247" s="38"/>
      <c r="K247" s="38"/>
      <c r="M247" s="37"/>
      <c r="N247" s="37"/>
      <c r="O247" s="37"/>
      <c r="AD247" s="38"/>
      <c r="AE247" s="38"/>
      <c r="AF247" s="38"/>
      <c r="AG247" s="38"/>
      <c r="AH247" s="38"/>
      <c r="AJ247" s="39"/>
    </row>
    <row r="248" spans="4:36" s="36" customFormat="1" x14ac:dyDescent="0.25">
      <c r="D248" s="37"/>
      <c r="E248" s="38"/>
      <c r="F248" s="38"/>
      <c r="G248" s="38"/>
      <c r="H248" s="38"/>
      <c r="I248" s="38"/>
      <c r="J248" s="38"/>
      <c r="K248" s="38"/>
      <c r="M248" s="37"/>
      <c r="N248" s="37"/>
      <c r="O248" s="37"/>
      <c r="AD248" s="38"/>
      <c r="AE248" s="38"/>
      <c r="AF248" s="38"/>
      <c r="AG248" s="38"/>
      <c r="AH248" s="38"/>
      <c r="AJ248" s="39"/>
    </row>
    <row r="249" spans="4:36" s="36" customFormat="1" x14ac:dyDescent="0.25">
      <c r="D249" s="37"/>
      <c r="E249" s="38"/>
      <c r="F249" s="38"/>
      <c r="G249" s="38"/>
      <c r="H249" s="38"/>
      <c r="I249" s="38"/>
      <c r="J249" s="38"/>
      <c r="K249" s="38"/>
      <c r="M249" s="37"/>
      <c r="N249" s="37"/>
      <c r="O249" s="37"/>
      <c r="AD249" s="38"/>
      <c r="AE249" s="38"/>
      <c r="AF249" s="38"/>
      <c r="AG249" s="38"/>
      <c r="AH249" s="38"/>
      <c r="AJ249" s="39"/>
    </row>
    <row r="250" spans="4:36" s="36" customFormat="1" x14ac:dyDescent="0.25">
      <c r="D250" s="37"/>
      <c r="E250" s="38"/>
      <c r="F250" s="38"/>
      <c r="G250" s="38"/>
      <c r="H250" s="38"/>
      <c r="I250" s="38"/>
      <c r="J250" s="38"/>
      <c r="K250" s="38"/>
      <c r="M250" s="37"/>
      <c r="N250" s="37"/>
      <c r="O250" s="37"/>
      <c r="AD250" s="38"/>
      <c r="AE250" s="38"/>
      <c r="AF250" s="38"/>
      <c r="AG250" s="38"/>
      <c r="AH250" s="38"/>
      <c r="AJ250" s="39"/>
    </row>
    <row r="251" spans="4:36" s="36" customFormat="1" x14ac:dyDescent="0.25">
      <c r="D251" s="37"/>
      <c r="E251" s="38"/>
      <c r="F251" s="38"/>
      <c r="G251" s="38"/>
      <c r="H251" s="38"/>
      <c r="I251" s="38"/>
      <c r="J251" s="38"/>
      <c r="K251" s="38"/>
      <c r="M251" s="37"/>
      <c r="N251" s="37"/>
      <c r="O251" s="37"/>
      <c r="AD251" s="38"/>
      <c r="AE251" s="38"/>
      <c r="AF251" s="38"/>
      <c r="AG251" s="38"/>
      <c r="AH251" s="38"/>
      <c r="AJ251" s="39"/>
    </row>
    <row r="252" spans="4:36" s="36" customFormat="1" x14ac:dyDescent="0.25">
      <c r="D252" s="37"/>
      <c r="E252" s="38"/>
      <c r="F252" s="38"/>
      <c r="G252" s="38"/>
      <c r="H252" s="38"/>
      <c r="I252" s="38"/>
      <c r="J252" s="38"/>
      <c r="K252" s="38"/>
      <c r="M252" s="37"/>
      <c r="N252" s="37"/>
      <c r="O252" s="37"/>
      <c r="AD252" s="38"/>
      <c r="AE252" s="38"/>
      <c r="AF252" s="38"/>
      <c r="AG252" s="38"/>
      <c r="AH252" s="38"/>
      <c r="AJ252" s="39"/>
    </row>
    <row r="253" spans="4:36" s="36" customFormat="1" x14ac:dyDescent="0.25">
      <c r="D253" s="37"/>
      <c r="E253" s="38"/>
      <c r="F253" s="38"/>
      <c r="G253" s="38"/>
      <c r="H253" s="38"/>
      <c r="I253" s="38"/>
      <c r="J253" s="38"/>
      <c r="K253" s="38"/>
      <c r="M253" s="37"/>
      <c r="N253" s="37"/>
      <c r="O253" s="37"/>
      <c r="AD253" s="38"/>
      <c r="AE253" s="38"/>
      <c r="AF253" s="38"/>
      <c r="AG253" s="38"/>
      <c r="AH253" s="38"/>
      <c r="AJ253" s="39"/>
    </row>
    <row r="254" spans="4:36" s="36" customFormat="1" x14ac:dyDescent="0.25">
      <c r="D254" s="37"/>
      <c r="E254" s="38"/>
      <c r="F254" s="38"/>
      <c r="G254" s="38"/>
      <c r="H254" s="38"/>
      <c r="I254" s="38"/>
      <c r="J254" s="38"/>
      <c r="K254" s="38"/>
      <c r="M254" s="37"/>
      <c r="N254" s="37"/>
      <c r="O254" s="37"/>
      <c r="AD254" s="38"/>
      <c r="AE254" s="38"/>
      <c r="AF254" s="38"/>
      <c r="AG254" s="38"/>
      <c r="AH254" s="38"/>
      <c r="AJ254" s="39"/>
    </row>
    <row r="255" spans="4:36" s="36" customFormat="1" x14ac:dyDescent="0.25">
      <c r="D255" s="37"/>
      <c r="E255" s="38"/>
      <c r="F255" s="38"/>
      <c r="G255" s="38"/>
      <c r="H255" s="38"/>
      <c r="I255" s="38"/>
      <c r="J255" s="38"/>
      <c r="K255" s="38"/>
      <c r="M255" s="37"/>
      <c r="N255" s="37"/>
      <c r="O255" s="37"/>
      <c r="AD255" s="38"/>
      <c r="AE255" s="38"/>
      <c r="AF255" s="38"/>
      <c r="AG255" s="38"/>
      <c r="AH255" s="38"/>
      <c r="AJ255" s="39"/>
    </row>
    <row r="256" spans="4:36" s="36" customFormat="1" x14ac:dyDescent="0.25">
      <c r="D256" s="37"/>
      <c r="E256" s="38"/>
      <c r="F256" s="38"/>
      <c r="G256" s="38"/>
      <c r="H256" s="38"/>
      <c r="I256" s="38"/>
      <c r="J256" s="38"/>
      <c r="K256" s="38"/>
      <c r="M256" s="37"/>
      <c r="N256" s="37"/>
      <c r="O256" s="37"/>
      <c r="AD256" s="38"/>
      <c r="AE256" s="38"/>
      <c r="AF256" s="38"/>
      <c r="AG256" s="38"/>
      <c r="AH256" s="38"/>
      <c r="AJ256" s="39"/>
    </row>
    <row r="257" spans="4:36" s="36" customFormat="1" x14ac:dyDescent="0.25">
      <c r="D257" s="37"/>
      <c r="E257" s="38"/>
      <c r="F257" s="38"/>
      <c r="G257" s="38"/>
      <c r="H257" s="38"/>
      <c r="I257" s="38"/>
      <c r="J257" s="38"/>
      <c r="K257" s="38"/>
      <c r="M257" s="37"/>
      <c r="N257" s="37"/>
      <c r="O257" s="37"/>
      <c r="AD257" s="38"/>
      <c r="AE257" s="38"/>
      <c r="AF257" s="38"/>
      <c r="AG257" s="38"/>
      <c r="AH257" s="38"/>
      <c r="AJ257" s="39"/>
    </row>
    <row r="258" spans="4:36" s="36" customFormat="1" x14ac:dyDescent="0.25">
      <c r="D258" s="37"/>
      <c r="E258" s="38"/>
      <c r="F258" s="38"/>
      <c r="G258" s="38"/>
      <c r="H258" s="38"/>
      <c r="I258" s="38"/>
      <c r="J258" s="38"/>
      <c r="K258" s="38"/>
      <c r="M258" s="37"/>
      <c r="N258" s="37"/>
      <c r="O258" s="37"/>
      <c r="AD258" s="38"/>
      <c r="AE258" s="38"/>
      <c r="AF258" s="38"/>
      <c r="AG258" s="38"/>
      <c r="AH258" s="38"/>
      <c r="AJ258" s="39"/>
    </row>
    <row r="259" spans="4:36" s="36" customFormat="1" x14ac:dyDescent="0.25">
      <c r="D259" s="37"/>
      <c r="E259" s="38"/>
      <c r="F259" s="38"/>
      <c r="G259" s="38"/>
      <c r="H259" s="38"/>
      <c r="I259" s="38"/>
      <c r="J259" s="38"/>
      <c r="K259" s="38"/>
      <c r="M259" s="37"/>
      <c r="N259" s="37"/>
      <c r="O259" s="37"/>
      <c r="AD259" s="38"/>
      <c r="AE259" s="38"/>
      <c r="AF259" s="38"/>
      <c r="AG259" s="38"/>
      <c r="AH259" s="38"/>
      <c r="AJ259" s="39"/>
    </row>
    <row r="260" spans="4:36" s="36" customFormat="1" x14ac:dyDescent="0.25">
      <c r="D260" s="37"/>
      <c r="E260" s="38"/>
      <c r="F260" s="38"/>
      <c r="G260" s="38"/>
      <c r="H260" s="38"/>
      <c r="I260" s="38"/>
      <c r="J260" s="38"/>
      <c r="K260" s="38"/>
      <c r="M260" s="37"/>
      <c r="N260" s="37"/>
      <c r="O260" s="37"/>
      <c r="AD260" s="38"/>
      <c r="AE260" s="38"/>
      <c r="AF260" s="38"/>
      <c r="AG260" s="38"/>
      <c r="AH260" s="38"/>
      <c r="AJ260" s="39"/>
    </row>
    <row r="261" spans="4:36" s="36" customFormat="1" x14ac:dyDescent="0.25">
      <c r="D261" s="37"/>
      <c r="E261" s="38"/>
      <c r="F261" s="38"/>
      <c r="G261" s="38"/>
      <c r="H261" s="38"/>
      <c r="I261" s="38"/>
      <c r="J261" s="38"/>
      <c r="K261" s="38"/>
      <c r="M261" s="37"/>
      <c r="N261" s="37"/>
      <c r="O261" s="37"/>
      <c r="AD261" s="38"/>
      <c r="AE261" s="38"/>
      <c r="AF261" s="38"/>
      <c r="AG261" s="38"/>
      <c r="AH261" s="38"/>
      <c r="AJ261" s="39"/>
    </row>
    <row r="262" spans="4:36" s="36" customFormat="1" x14ac:dyDescent="0.25">
      <c r="D262" s="37"/>
      <c r="E262" s="38"/>
      <c r="F262" s="38"/>
      <c r="G262" s="38"/>
      <c r="H262" s="38"/>
      <c r="I262" s="38"/>
      <c r="J262" s="38"/>
      <c r="K262" s="38"/>
      <c r="M262" s="37"/>
      <c r="N262" s="37"/>
      <c r="O262" s="37"/>
      <c r="AD262" s="38"/>
      <c r="AE262" s="38"/>
      <c r="AF262" s="38"/>
      <c r="AG262" s="38"/>
      <c r="AH262" s="38"/>
      <c r="AJ262" s="39"/>
    </row>
    <row r="263" spans="4:36" s="36" customFormat="1" x14ac:dyDescent="0.25">
      <c r="D263" s="37"/>
      <c r="E263" s="38"/>
      <c r="F263" s="38"/>
      <c r="G263" s="38"/>
      <c r="H263" s="38"/>
      <c r="I263" s="38"/>
      <c r="J263" s="38"/>
      <c r="K263" s="38"/>
      <c r="M263" s="37"/>
      <c r="N263" s="37"/>
      <c r="O263" s="37"/>
      <c r="AD263" s="38"/>
      <c r="AE263" s="38"/>
      <c r="AF263" s="38"/>
      <c r="AG263" s="38"/>
      <c r="AH263" s="38"/>
      <c r="AJ263" s="39"/>
    </row>
    <row r="264" spans="4:36" s="36" customFormat="1" x14ac:dyDescent="0.25">
      <c r="D264" s="37"/>
      <c r="E264" s="38"/>
      <c r="F264" s="38"/>
      <c r="G264" s="38"/>
      <c r="H264" s="38"/>
      <c r="I264" s="38"/>
      <c r="J264" s="38"/>
      <c r="K264" s="38"/>
      <c r="M264" s="37"/>
      <c r="N264" s="37"/>
      <c r="O264" s="37"/>
      <c r="AD264" s="38"/>
      <c r="AE264" s="38"/>
      <c r="AF264" s="38"/>
      <c r="AG264" s="38"/>
      <c r="AH264" s="38"/>
      <c r="AJ264" s="39"/>
    </row>
    <row r="265" spans="4:36" s="36" customFormat="1" x14ac:dyDescent="0.25">
      <c r="D265" s="37"/>
      <c r="E265" s="38"/>
      <c r="F265" s="38"/>
      <c r="G265" s="38"/>
      <c r="H265" s="38"/>
      <c r="I265" s="38"/>
      <c r="J265" s="38"/>
      <c r="K265" s="38"/>
      <c r="M265" s="37"/>
      <c r="N265" s="37"/>
      <c r="O265" s="37"/>
      <c r="AD265" s="38"/>
      <c r="AE265" s="38"/>
      <c r="AF265" s="38"/>
      <c r="AG265" s="38"/>
      <c r="AH265" s="38"/>
      <c r="AJ265" s="39"/>
    </row>
    <row r="266" spans="4:36" s="36" customFormat="1" x14ac:dyDescent="0.25">
      <c r="D266" s="37"/>
      <c r="E266" s="38"/>
      <c r="F266" s="38"/>
      <c r="G266" s="38"/>
      <c r="H266" s="38"/>
      <c r="I266" s="38"/>
      <c r="J266" s="38"/>
      <c r="K266" s="38"/>
      <c r="M266" s="37"/>
      <c r="N266" s="37"/>
      <c r="O266" s="37"/>
      <c r="AD266" s="38"/>
      <c r="AE266" s="38"/>
      <c r="AF266" s="38"/>
      <c r="AG266" s="38"/>
      <c r="AH266" s="38"/>
      <c r="AJ266" s="39"/>
    </row>
    <row r="267" spans="4:36" s="36" customFormat="1" x14ac:dyDescent="0.25">
      <c r="D267" s="37"/>
      <c r="E267" s="38"/>
      <c r="F267" s="38"/>
      <c r="G267" s="38"/>
      <c r="H267" s="38"/>
      <c r="I267" s="38"/>
      <c r="J267" s="38"/>
      <c r="K267" s="38"/>
      <c r="M267" s="37"/>
      <c r="N267" s="37"/>
      <c r="O267" s="37"/>
      <c r="AD267" s="38"/>
      <c r="AE267" s="38"/>
      <c r="AF267" s="38"/>
      <c r="AG267" s="38"/>
      <c r="AH267" s="38"/>
      <c r="AJ267" s="39"/>
    </row>
    <row r="268" spans="4:36" s="36" customFormat="1" x14ac:dyDescent="0.25">
      <c r="D268" s="37"/>
      <c r="E268" s="38"/>
      <c r="F268" s="38"/>
      <c r="G268" s="38"/>
      <c r="H268" s="38"/>
      <c r="I268" s="38"/>
      <c r="J268" s="38"/>
      <c r="K268" s="38"/>
      <c r="M268" s="37"/>
      <c r="N268" s="37"/>
      <c r="O268" s="37"/>
      <c r="AD268" s="38"/>
      <c r="AE268" s="38"/>
      <c r="AF268" s="38"/>
      <c r="AG268" s="38"/>
      <c r="AH268" s="38"/>
      <c r="AJ268" s="39"/>
    </row>
    <row r="269" spans="4:36" s="36" customFormat="1" x14ac:dyDescent="0.25">
      <c r="D269" s="37"/>
      <c r="E269" s="38"/>
      <c r="F269" s="38"/>
      <c r="G269" s="38"/>
      <c r="H269" s="38"/>
      <c r="I269" s="38"/>
      <c r="J269" s="38"/>
      <c r="K269" s="38"/>
      <c r="M269" s="37"/>
      <c r="N269" s="37"/>
      <c r="O269" s="37"/>
      <c r="AD269" s="38"/>
      <c r="AE269" s="38"/>
      <c r="AF269" s="38"/>
      <c r="AG269" s="38"/>
      <c r="AH269" s="38"/>
      <c r="AJ269" s="39"/>
    </row>
    <row r="270" spans="4:36" s="36" customFormat="1" x14ac:dyDescent="0.25">
      <c r="D270" s="37"/>
      <c r="E270" s="38"/>
      <c r="F270" s="38"/>
      <c r="G270" s="38"/>
      <c r="H270" s="38"/>
      <c r="I270" s="38"/>
      <c r="J270" s="38"/>
      <c r="K270" s="38"/>
      <c r="M270" s="37"/>
      <c r="N270" s="37"/>
      <c r="O270" s="37"/>
      <c r="AD270" s="38"/>
      <c r="AE270" s="38"/>
      <c r="AF270" s="38"/>
      <c r="AG270" s="38"/>
      <c r="AH270" s="38"/>
      <c r="AJ270" s="39"/>
    </row>
    <row r="271" spans="4:36" s="36" customFormat="1" x14ac:dyDescent="0.25">
      <c r="D271" s="37"/>
      <c r="E271" s="38"/>
      <c r="F271" s="38"/>
      <c r="G271" s="38"/>
      <c r="H271" s="38"/>
      <c r="I271" s="38"/>
      <c r="J271" s="38"/>
      <c r="K271" s="38"/>
      <c r="M271" s="37"/>
      <c r="N271" s="37"/>
      <c r="O271" s="37"/>
      <c r="AD271" s="38"/>
      <c r="AE271" s="38"/>
      <c r="AF271" s="38"/>
      <c r="AG271" s="38"/>
      <c r="AH271" s="38"/>
      <c r="AJ271" s="39"/>
    </row>
    <row r="272" spans="4:36" s="36" customFormat="1" x14ac:dyDescent="0.25">
      <c r="D272" s="37"/>
      <c r="E272" s="38"/>
      <c r="F272" s="38"/>
      <c r="G272" s="38"/>
      <c r="H272" s="38"/>
      <c r="I272" s="38"/>
      <c r="J272" s="38"/>
      <c r="K272" s="38"/>
      <c r="M272" s="37"/>
      <c r="N272" s="37"/>
      <c r="O272" s="37"/>
      <c r="AD272" s="38"/>
      <c r="AE272" s="38"/>
      <c r="AF272" s="38"/>
      <c r="AG272" s="38"/>
      <c r="AH272" s="38"/>
      <c r="AJ272" s="39"/>
    </row>
    <row r="273" spans="4:36" s="36" customFormat="1" x14ac:dyDescent="0.25">
      <c r="D273" s="37"/>
      <c r="E273" s="38"/>
      <c r="F273" s="38"/>
      <c r="G273" s="38"/>
      <c r="H273" s="38"/>
      <c r="I273" s="38"/>
      <c r="J273" s="38"/>
      <c r="K273" s="38"/>
      <c r="M273" s="37"/>
      <c r="N273" s="37"/>
      <c r="O273" s="37"/>
      <c r="AD273" s="38"/>
      <c r="AE273" s="38"/>
      <c r="AF273" s="38"/>
      <c r="AG273" s="38"/>
      <c r="AH273" s="38"/>
      <c r="AJ273" s="39"/>
    </row>
    <row r="274" spans="4:36" s="36" customFormat="1" x14ac:dyDescent="0.25">
      <c r="D274" s="37"/>
      <c r="E274" s="38"/>
      <c r="F274" s="38"/>
      <c r="G274" s="38"/>
      <c r="H274" s="38"/>
      <c r="I274" s="38"/>
      <c r="J274" s="38"/>
      <c r="K274" s="38"/>
      <c r="M274" s="37"/>
      <c r="N274" s="37"/>
      <c r="O274" s="37"/>
      <c r="AD274" s="38"/>
      <c r="AE274" s="38"/>
      <c r="AF274" s="38"/>
      <c r="AG274" s="38"/>
      <c r="AH274" s="38"/>
      <c r="AJ274" s="39"/>
    </row>
    <row r="275" spans="4:36" s="36" customFormat="1" x14ac:dyDescent="0.25">
      <c r="D275" s="37"/>
      <c r="E275" s="38"/>
      <c r="F275" s="38"/>
      <c r="G275" s="38"/>
      <c r="H275" s="38"/>
      <c r="I275" s="38"/>
      <c r="J275" s="38"/>
      <c r="K275" s="38"/>
      <c r="M275" s="37"/>
      <c r="N275" s="37"/>
      <c r="O275" s="37"/>
      <c r="AD275" s="38"/>
      <c r="AE275" s="38"/>
      <c r="AF275" s="38"/>
      <c r="AG275" s="38"/>
      <c r="AH275" s="38"/>
      <c r="AJ275" s="39"/>
    </row>
    <row r="276" spans="4:36" s="36" customFormat="1" x14ac:dyDescent="0.25">
      <c r="D276" s="37"/>
      <c r="E276" s="38"/>
      <c r="F276" s="38"/>
      <c r="G276" s="38"/>
      <c r="H276" s="38"/>
      <c r="I276" s="38"/>
      <c r="J276" s="38"/>
      <c r="K276" s="38"/>
      <c r="M276" s="37"/>
      <c r="N276" s="37"/>
      <c r="O276" s="37"/>
      <c r="AD276" s="38"/>
      <c r="AE276" s="38"/>
      <c r="AF276" s="38"/>
      <c r="AG276" s="38"/>
      <c r="AH276" s="38"/>
      <c r="AJ276" s="39"/>
    </row>
    <row r="277" spans="4:36" s="36" customFormat="1" x14ac:dyDescent="0.25">
      <c r="D277" s="37"/>
      <c r="E277" s="38"/>
      <c r="F277" s="38"/>
      <c r="G277" s="38"/>
      <c r="H277" s="38"/>
      <c r="I277" s="38"/>
      <c r="J277" s="38"/>
      <c r="K277" s="38"/>
      <c r="M277" s="37"/>
      <c r="N277" s="37"/>
      <c r="O277" s="37"/>
      <c r="AD277" s="38"/>
      <c r="AE277" s="38"/>
      <c r="AF277" s="38"/>
      <c r="AG277" s="38"/>
      <c r="AH277" s="38"/>
      <c r="AJ277" s="39"/>
    </row>
    <row r="278" spans="4:36" s="36" customFormat="1" x14ac:dyDescent="0.25">
      <c r="D278" s="37"/>
      <c r="E278" s="38"/>
      <c r="F278" s="38"/>
      <c r="G278" s="38"/>
      <c r="H278" s="38"/>
      <c r="I278" s="38"/>
      <c r="J278" s="38"/>
      <c r="K278" s="38"/>
      <c r="M278" s="37"/>
      <c r="N278" s="37"/>
      <c r="O278" s="37"/>
      <c r="AD278" s="38"/>
      <c r="AE278" s="38"/>
      <c r="AF278" s="38"/>
      <c r="AG278" s="38"/>
      <c r="AH278" s="38"/>
      <c r="AJ278" s="39"/>
    </row>
    <row r="279" spans="4:36" s="36" customFormat="1" x14ac:dyDescent="0.25">
      <c r="D279" s="37"/>
      <c r="E279" s="38"/>
      <c r="F279" s="38"/>
      <c r="G279" s="38"/>
      <c r="H279" s="38"/>
      <c r="I279" s="38"/>
      <c r="J279" s="38"/>
      <c r="K279" s="38"/>
      <c r="M279" s="37"/>
      <c r="N279" s="37"/>
      <c r="O279" s="37"/>
      <c r="AD279" s="38"/>
      <c r="AE279" s="38"/>
      <c r="AF279" s="38"/>
      <c r="AG279" s="38"/>
      <c r="AH279" s="38"/>
      <c r="AJ279" s="39"/>
    </row>
    <row r="280" spans="4:36" s="36" customFormat="1" x14ac:dyDescent="0.25">
      <c r="D280" s="37"/>
      <c r="E280" s="38"/>
      <c r="F280" s="38"/>
      <c r="G280" s="38"/>
      <c r="H280" s="38"/>
      <c r="I280" s="38"/>
      <c r="J280" s="38"/>
      <c r="K280" s="38"/>
      <c r="M280" s="37"/>
      <c r="N280" s="37"/>
      <c r="O280" s="37"/>
      <c r="AD280" s="38"/>
      <c r="AE280" s="38"/>
      <c r="AF280" s="38"/>
      <c r="AG280" s="38"/>
      <c r="AH280" s="38"/>
      <c r="AJ280" s="39"/>
    </row>
    <row r="281" spans="4:36" s="36" customFormat="1" x14ac:dyDescent="0.25">
      <c r="D281" s="37"/>
      <c r="E281" s="38"/>
      <c r="F281" s="38"/>
      <c r="G281" s="38"/>
      <c r="H281" s="38"/>
      <c r="I281" s="38"/>
      <c r="J281" s="38"/>
      <c r="K281" s="38"/>
      <c r="M281" s="37"/>
      <c r="N281" s="37"/>
      <c r="O281" s="37"/>
      <c r="AD281" s="38"/>
      <c r="AE281" s="38"/>
      <c r="AF281" s="38"/>
      <c r="AG281" s="38"/>
      <c r="AH281" s="38"/>
      <c r="AJ281" s="39"/>
    </row>
    <row r="282" spans="4:36" s="36" customFormat="1" x14ac:dyDescent="0.25">
      <c r="D282" s="37"/>
      <c r="E282" s="38"/>
      <c r="F282" s="38"/>
      <c r="G282" s="38"/>
      <c r="H282" s="38"/>
      <c r="I282" s="38"/>
      <c r="J282" s="38"/>
      <c r="K282" s="38"/>
      <c r="M282" s="37"/>
      <c r="N282" s="37"/>
      <c r="O282" s="37"/>
      <c r="AD282" s="38"/>
      <c r="AE282" s="38"/>
      <c r="AF282" s="38"/>
      <c r="AG282" s="38"/>
      <c r="AH282" s="38"/>
      <c r="AJ282" s="39"/>
    </row>
    <row r="283" spans="4:36" s="36" customFormat="1" x14ac:dyDescent="0.25">
      <c r="D283" s="37"/>
      <c r="E283" s="38"/>
      <c r="F283" s="38"/>
      <c r="G283" s="38"/>
      <c r="H283" s="38"/>
      <c r="I283" s="38"/>
      <c r="J283" s="38"/>
      <c r="K283" s="38"/>
      <c r="M283" s="37"/>
      <c r="N283" s="37"/>
      <c r="O283" s="37"/>
      <c r="AD283" s="38"/>
      <c r="AE283" s="38"/>
      <c r="AF283" s="38"/>
      <c r="AG283" s="38"/>
      <c r="AH283" s="38"/>
      <c r="AJ283" s="39"/>
    </row>
    <row r="284" spans="4:36" s="36" customFormat="1" x14ac:dyDescent="0.25">
      <c r="D284" s="37"/>
      <c r="E284" s="38"/>
      <c r="F284" s="38"/>
      <c r="G284" s="38"/>
      <c r="H284" s="38"/>
      <c r="I284" s="38"/>
      <c r="J284" s="38"/>
      <c r="K284" s="38"/>
      <c r="M284" s="37"/>
      <c r="N284" s="37"/>
      <c r="O284" s="37"/>
      <c r="AD284" s="38"/>
      <c r="AE284" s="38"/>
      <c r="AF284" s="38"/>
      <c r="AG284" s="38"/>
      <c r="AH284" s="38"/>
      <c r="AJ284" s="39"/>
    </row>
    <row r="285" spans="4:36" s="36" customFormat="1" x14ac:dyDescent="0.25">
      <c r="D285" s="37"/>
      <c r="E285" s="38"/>
      <c r="F285" s="38"/>
      <c r="G285" s="38"/>
      <c r="H285" s="38"/>
      <c r="I285" s="38"/>
      <c r="J285" s="38"/>
      <c r="K285" s="38"/>
      <c r="M285" s="37"/>
      <c r="N285" s="37"/>
      <c r="O285" s="37"/>
      <c r="AD285" s="38"/>
      <c r="AE285" s="38"/>
      <c r="AF285" s="38"/>
      <c r="AG285" s="38"/>
      <c r="AH285" s="38"/>
      <c r="AJ285" s="39"/>
    </row>
    <row r="286" spans="4:36" s="36" customFormat="1" x14ac:dyDescent="0.25">
      <c r="D286" s="37"/>
      <c r="E286" s="38"/>
      <c r="F286" s="38"/>
      <c r="G286" s="38"/>
      <c r="H286" s="38"/>
      <c r="I286" s="38"/>
      <c r="J286" s="38"/>
      <c r="K286" s="38"/>
      <c r="M286" s="37"/>
      <c r="N286" s="37"/>
      <c r="O286" s="37"/>
      <c r="AD286" s="38"/>
      <c r="AE286" s="38"/>
      <c r="AF286" s="38"/>
      <c r="AG286" s="38"/>
      <c r="AH286" s="38"/>
      <c r="AJ286" s="39"/>
    </row>
    <row r="287" spans="4:36" s="36" customFormat="1" x14ac:dyDescent="0.25">
      <c r="D287" s="37"/>
      <c r="E287" s="38"/>
      <c r="F287" s="38"/>
      <c r="G287" s="38"/>
      <c r="H287" s="38"/>
      <c r="I287" s="38"/>
      <c r="J287" s="38"/>
      <c r="K287" s="38"/>
      <c r="M287" s="37"/>
      <c r="N287" s="37"/>
      <c r="O287" s="37"/>
      <c r="AD287" s="38"/>
      <c r="AE287" s="38"/>
      <c r="AF287" s="38"/>
      <c r="AG287" s="38"/>
      <c r="AH287" s="38"/>
      <c r="AJ287" s="39"/>
    </row>
    <row r="288" spans="4:36" s="36" customFormat="1" x14ac:dyDescent="0.25">
      <c r="D288" s="37"/>
      <c r="E288" s="38"/>
      <c r="F288" s="38"/>
      <c r="G288" s="38"/>
      <c r="H288" s="38"/>
      <c r="I288" s="38"/>
      <c r="J288" s="38"/>
      <c r="K288" s="38"/>
      <c r="M288" s="37"/>
      <c r="N288" s="37"/>
      <c r="O288" s="37"/>
      <c r="AD288" s="38"/>
      <c r="AE288" s="38"/>
      <c r="AF288" s="38"/>
      <c r="AG288" s="38"/>
      <c r="AH288" s="38"/>
      <c r="AJ288" s="39"/>
    </row>
    <row r="289" spans="4:36" s="36" customFormat="1" x14ac:dyDescent="0.25">
      <c r="D289" s="37"/>
      <c r="E289" s="38"/>
      <c r="F289" s="38"/>
      <c r="G289" s="38"/>
      <c r="H289" s="38"/>
      <c r="I289" s="38"/>
      <c r="J289" s="38"/>
      <c r="K289" s="38"/>
      <c r="M289" s="37"/>
      <c r="N289" s="37"/>
      <c r="O289" s="37"/>
      <c r="AD289" s="38"/>
      <c r="AE289" s="38"/>
      <c r="AF289" s="38"/>
      <c r="AG289" s="38"/>
      <c r="AH289" s="38"/>
      <c r="AJ289" s="39"/>
    </row>
    <row r="290" spans="4:36" s="36" customFormat="1" x14ac:dyDescent="0.25">
      <c r="D290" s="37"/>
      <c r="E290" s="38"/>
      <c r="F290" s="38"/>
      <c r="G290" s="38"/>
      <c r="H290" s="38"/>
      <c r="I290" s="38"/>
      <c r="J290" s="38"/>
      <c r="K290" s="38"/>
      <c r="M290" s="37"/>
      <c r="N290" s="37"/>
      <c r="O290" s="37"/>
      <c r="AD290" s="38"/>
      <c r="AE290" s="38"/>
      <c r="AF290" s="38"/>
      <c r="AG290" s="38"/>
      <c r="AH290" s="38"/>
      <c r="AJ290" s="39"/>
    </row>
    <row r="291" spans="4:36" s="36" customFormat="1" x14ac:dyDescent="0.25">
      <c r="D291" s="37"/>
      <c r="E291" s="38"/>
      <c r="F291" s="38"/>
      <c r="G291" s="38"/>
      <c r="H291" s="38"/>
      <c r="I291" s="38"/>
      <c r="J291" s="38"/>
      <c r="K291" s="38"/>
      <c r="M291" s="37"/>
      <c r="N291" s="37"/>
      <c r="O291" s="37"/>
      <c r="AD291" s="38"/>
      <c r="AE291" s="38"/>
      <c r="AF291" s="38"/>
      <c r="AG291" s="38"/>
      <c r="AH291" s="38"/>
      <c r="AJ291" s="39"/>
    </row>
    <row r="292" spans="4:36" s="36" customFormat="1" x14ac:dyDescent="0.25">
      <c r="D292" s="37"/>
      <c r="E292" s="38"/>
      <c r="F292" s="38"/>
      <c r="G292" s="38"/>
      <c r="H292" s="38"/>
      <c r="I292" s="38"/>
      <c r="J292" s="38"/>
      <c r="K292" s="38"/>
      <c r="M292" s="37"/>
      <c r="N292" s="37"/>
      <c r="O292" s="37"/>
      <c r="AD292" s="38"/>
      <c r="AE292" s="38"/>
      <c r="AF292" s="38"/>
      <c r="AG292" s="38"/>
      <c r="AH292" s="38"/>
      <c r="AJ292" s="39"/>
    </row>
    <row r="293" spans="4:36" s="36" customFormat="1" x14ac:dyDescent="0.25">
      <c r="D293" s="37"/>
      <c r="E293" s="38"/>
      <c r="F293" s="38"/>
      <c r="G293" s="38"/>
      <c r="H293" s="38"/>
      <c r="I293" s="38"/>
      <c r="J293" s="38"/>
      <c r="K293" s="38"/>
      <c r="M293" s="37"/>
      <c r="N293" s="37"/>
      <c r="O293" s="37"/>
      <c r="AD293" s="38"/>
      <c r="AE293" s="38"/>
      <c r="AF293" s="38"/>
      <c r="AG293" s="38"/>
      <c r="AH293" s="38"/>
      <c r="AJ293" s="39"/>
    </row>
    <row r="294" spans="4:36" s="36" customFormat="1" x14ac:dyDescent="0.25">
      <c r="D294" s="37"/>
      <c r="E294" s="38"/>
      <c r="F294" s="38"/>
      <c r="G294" s="38"/>
      <c r="H294" s="38"/>
      <c r="I294" s="38"/>
      <c r="J294" s="38"/>
      <c r="K294" s="38"/>
      <c r="M294" s="37"/>
      <c r="N294" s="37"/>
      <c r="O294" s="37"/>
      <c r="AD294" s="38"/>
      <c r="AE294" s="38"/>
      <c r="AF294" s="38"/>
      <c r="AG294" s="38"/>
      <c r="AH294" s="38"/>
      <c r="AJ294" s="39"/>
    </row>
    <row r="295" spans="4:36" s="36" customFormat="1" x14ac:dyDescent="0.25">
      <c r="D295" s="37"/>
      <c r="E295" s="38"/>
      <c r="F295" s="38"/>
      <c r="G295" s="38"/>
      <c r="H295" s="38"/>
      <c r="I295" s="38"/>
      <c r="J295" s="38"/>
      <c r="K295" s="38"/>
      <c r="M295" s="37"/>
      <c r="N295" s="37"/>
      <c r="O295" s="37"/>
      <c r="AD295" s="38"/>
      <c r="AE295" s="38"/>
      <c r="AF295" s="38"/>
      <c r="AG295" s="38"/>
      <c r="AH295" s="38"/>
      <c r="AJ295" s="39"/>
    </row>
    <row r="296" spans="4:36" s="36" customFormat="1" x14ac:dyDescent="0.25">
      <c r="D296" s="37"/>
      <c r="E296" s="38"/>
      <c r="F296" s="38"/>
      <c r="G296" s="38"/>
      <c r="H296" s="38"/>
      <c r="I296" s="38"/>
      <c r="J296" s="38"/>
      <c r="K296" s="38"/>
      <c r="M296" s="37"/>
      <c r="N296" s="37"/>
      <c r="O296" s="37"/>
      <c r="AD296" s="38"/>
      <c r="AE296" s="38"/>
      <c r="AF296" s="38"/>
      <c r="AG296" s="38"/>
      <c r="AH296" s="38"/>
      <c r="AJ296" s="39"/>
    </row>
    <row r="297" spans="4:36" s="36" customFormat="1" x14ac:dyDescent="0.25">
      <c r="D297" s="37"/>
      <c r="E297" s="38"/>
      <c r="F297" s="38"/>
      <c r="G297" s="38"/>
      <c r="H297" s="38"/>
      <c r="I297" s="38"/>
      <c r="J297" s="38"/>
      <c r="K297" s="38"/>
      <c r="M297" s="37"/>
      <c r="N297" s="37"/>
      <c r="O297" s="37"/>
      <c r="AD297" s="38"/>
      <c r="AE297" s="38"/>
      <c r="AF297" s="38"/>
      <c r="AG297" s="38"/>
      <c r="AH297" s="38"/>
      <c r="AJ297" s="39"/>
    </row>
    <row r="298" spans="4:36" s="36" customFormat="1" x14ac:dyDescent="0.25">
      <c r="D298" s="37"/>
      <c r="E298" s="38"/>
      <c r="F298" s="38"/>
      <c r="G298" s="38"/>
      <c r="H298" s="38"/>
      <c r="I298" s="38"/>
      <c r="J298" s="38"/>
      <c r="K298" s="38"/>
      <c r="M298" s="37"/>
      <c r="N298" s="37"/>
      <c r="O298" s="37"/>
      <c r="AD298" s="38"/>
      <c r="AE298" s="38"/>
      <c r="AF298" s="38"/>
      <c r="AG298" s="38"/>
      <c r="AH298" s="38"/>
      <c r="AJ298" s="39"/>
    </row>
    <row r="299" spans="4:36" s="36" customFormat="1" x14ac:dyDescent="0.25">
      <c r="D299" s="37"/>
      <c r="E299" s="38"/>
      <c r="F299" s="38"/>
      <c r="G299" s="38"/>
      <c r="H299" s="38"/>
      <c r="I299" s="38"/>
      <c r="J299" s="38"/>
      <c r="K299" s="38"/>
      <c r="M299" s="37"/>
      <c r="N299" s="37"/>
      <c r="O299" s="37"/>
      <c r="AD299" s="38"/>
      <c r="AE299" s="38"/>
      <c r="AF299" s="38"/>
      <c r="AG299" s="38"/>
      <c r="AH299" s="38"/>
      <c r="AJ299" s="39"/>
    </row>
    <row r="300" spans="4:36" s="36" customFormat="1" x14ac:dyDescent="0.25">
      <c r="D300" s="37"/>
      <c r="E300" s="38"/>
      <c r="F300" s="38"/>
      <c r="G300" s="38"/>
      <c r="H300" s="38"/>
      <c r="I300" s="38"/>
      <c r="J300" s="38"/>
      <c r="K300" s="38"/>
      <c r="M300" s="37"/>
      <c r="N300" s="37"/>
      <c r="O300" s="37"/>
      <c r="AD300" s="38"/>
      <c r="AE300" s="38"/>
      <c r="AF300" s="38"/>
      <c r="AG300" s="38"/>
      <c r="AH300" s="38"/>
      <c r="AJ300" s="39"/>
    </row>
    <row r="301" spans="4:36" s="36" customFormat="1" x14ac:dyDescent="0.25">
      <c r="D301" s="37"/>
      <c r="E301" s="38"/>
      <c r="F301" s="38"/>
      <c r="G301" s="38"/>
      <c r="H301" s="38"/>
      <c r="I301" s="38"/>
      <c r="J301" s="38"/>
      <c r="K301" s="38"/>
      <c r="M301" s="37"/>
      <c r="N301" s="37"/>
      <c r="O301" s="37"/>
      <c r="AD301" s="38"/>
      <c r="AE301" s="38"/>
      <c r="AF301" s="38"/>
      <c r="AG301" s="38"/>
      <c r="AH301" s="38"/>
      <c r="AJ301" s="39"/>
    </row>
    <row r="302" spans="4:36" s="36" customFormat="1" x14ac:dyDescent="0.25">
      <c r="D302" s="37"/>
      <c r="E302" s="38"/>
      <c r="F302" s="38"/>
      <c r="G302" s="38"/>
      <c r="H302" s="38"/>
      <c r="I302" s="38"/>
      <c r="J302" s="38"/>
      <c r="K302" s="38"/>
      <c r="M302" s="37"/>
      <c r="N302" s="37"/>
      <c r="O302" s="37"/>
      <c r="AD302" s="38"/>
      <c r="AE302" s="38"/>
      <c r="AF302" s="38"/>
      <c r="AG302" s="38"/>
      <c r="AH302" s="38"/>
      <c r="AJ302" s="39"/>
    </row>
    <row r="303" spans="4:36" s="36" customFormat="1" x14ac:dyDescent="0.25">
      <c r="D303" s="37"/>
      <c r="E303" s="38"/>
      <c r="F303" s="38"/>
      <c r="G303" s="38"/>
      <c r="H303" s="38"/>
      <c r="I303" s="38"/>
      <c r="J303" s="38"/>
      <c r="K303" s="38"/>
      <c r="M303" s="37"/>
      <c r="N303" s="37"/>
      <c r="O303" s="37"/>
      <c r="AD303" s="38"/>
      <c r="AE303" s="38"/>
      <c r="AF303" s="38"/>
      <c r="AG303" s="38"/>
      <c r="AH303" s="38"/>
      <c r="AJ303" s="39"/>
    </row>
    <row r="304" spans="4:36" s="36" customFormat="1" x14ac:dyDescent="0.25">
      <c r="D304" s="37"/>
      <c r="E304" s="38"/>
      <c r="F304" s="38"/>
      <c r="G304" s="38"/>
      <c r="H304" s="38"/>
      <c r="I304" s="38"/>
      <c r="J304" s="38"/>
      <c r="K304" s="38"/>
      <c r="M304" s="37"/>
      <c r="N304" s="37"/>
      <c r="O304" s="37"/>
      <c r="AD304" s="38"/>
      <c r="AE304" s="38"/>
      <c r="AF304" s="38"/>
      <c r="AG304" s="38"/>
      <c r="AH304" s="38"/>
      <c r="AJ304" s="39"/>
    </row>
    <row r="305" spans="4:36" s="36" customFormat="1" x14ac:dyDescent="0.25">
      <c r="D305" s="37"/>
      <c r="E305" s="38"/>
      <c r="F305" s="38"/>
      <c r="G305" s="38"/>
      <c r="H305" s="38"/>
      <c r="I305" s="38"/>
      <c r="J305" s="38"/>
      <c r="K305" s="38"/>
      <c r="M305" s="37"/>
      <c r="N305" s="37"/>
      <c r="O305" s="37"/>
      <c r="AD305" s="38"/>
      <c r="AE305" s="38"/>
      <c r="AF305" s="38"/>
      <c r="AG305" s="38"/>
      <c r="AH305" s="38"/>
      <c r="AJ305" s="39"/>
    </row>
    <row r="306" spans="4:36" s="36" customFormat="1" x14ac:dyDescent="0.25">
      <c r="D306" s="37"/>
      <c r="E306" s="38"/>
      <c r="F306" s="38"/>
      <c r="G306" s="38"/>
      <c r="H306" s="38"/>
      <c r="I306" s="38"/>
      <c r="J306" s="38"/>
      <c r="K306" s="38"/>
      <c r="M306" s="37"/>
      <c r="N306" s="37"/>
      <c r="O306" s="37"/>
      <c r="AD306" s="38"/>
      <c r="AE306" s="38"/>
      <c r="AF306" s="38"/>
      <c r="AG306" s="38"/>
      <c r="AH306" s="38"/>
      <c r="AJ306" s="39"/>
    </row>
    <row r="307" spans="4:36" s="36" customFormat="1" x14ac:dyDescent="0.25">
      <c r="D307" s="37"/>
      <c r="E307" s="38"/>
      <c r="F307" s="38"/>
      <c r="G307" s="38"/>
      <c r="H307" s="38"/>
      <c r="I307" s="38"/>
      <c r="J307" s="38"/>
      <c r="K307" s="38"/>
      <c r="M307" s="37"/>
      <c r="N307" s="37"/>
      <c r="O307" s="37"/>
      <c r="AD307" s="38"/>
      <c r="AE307" s="38"/>
      <c r="AF307" s="38"/>
      <c r="AG307" s="38"/>
      <c r="AH307" s="38"/>
      <c r="AJ307" s="39"/>
    </row>
    <row r="308" spans="4:36" s="36" customFormat="1" x14ac:dyDescent="0.25">
      <c r="D308" s="37"/>
      <c r="E308" s="38"/>
      <c r="F308" s="38"/>
      <c r="G308" s="38"/>
      <c r="H308" s="38"/>
      <c r="I308" s="38"/>
      <c r="J308" s="38"/>
      <c r="K308" s="38"/>
      <c r="M308" s="37"/>
      <c r="N308" s="37"/>
      <c r="O308" s="37"/>
      <c r="AD308" s="38"/>
      <c r="AE308" s="38"/>
      <c r="AF308" s="38"/>
      <c r="AG308" s="38"/>
      <c r="AH308" s="38"/>
      <c r="AJ308" s="39"/>
    </row>
    <row r="309" spans="4:36" s="36" customFormat="1" x14ac:dyDescent="0.25">
      <c r="D309" s="37"/>
      <c r="E309" s="38"/>
      <c r="F309" s="38"/>
      <c r="G309" s="38"/>
      <c r="H309" s="38"/>
      <c r="I309" s="38"/>
      <c r="J309" s="38"/>
      <c r="K309" s="38"/>
      <c r="M309" s="37"/>
      <c r="N309" s="37"/>
      <c r="O309" s="37"/>
      <c r="AD309" s="38"/>
      <c r="AE309" s="38"/>
      <c r="AF309" s="38"/>
      <c r="AG309" s="38"/>
      <c r="AH309" s="38"/>
      <c r="AJ309" s="39"/>
    </row>
    <row r="310" spans="4:36" s="36" customFormat="1" x14ac:dyDescent="0.25">
      <c r="D310" s="37"/>
      <c r="E310" s="38"/>
      <c r="F310" s="38"/>
      <c r="G310" s="38"/>
      <c r="H310" s="38"/>
      <c r="I310" s="38"/>
      <c r="J310" s="38"/>
      <c r="K310" s="38"/>
      <c r="M310" s="37"/>
      <c r="N310" s="37"/>
      <c r="O310" s="37"/>
      <c r="AD310" s="38"/>
      <c r="AE310" s="38"/>
      <c r="AF310" s="38"/>
      <c r="AG310" s="38"/>
      <c r="AH310" s="38"/>
      <c r="AJ310" s="39"/>
    </row>
    <row r="311" spans="4:36" s="36" customFormat="1" x14ac:dyDescent="0.25">
      <c r="D311" s="37"/>
      <c r="E311" s="38"/>
      <c r="F311" s="38"/>
      <c r="G311" s="38"/>
      <c r="H311" s="38"/>
      <c r="I311" s="38"/>
      <c r="J311" s="38"/>
      <c r="K311" s="38"/>
      <c r="M311" s="37"/>
      <c r="N311" s="37"/>
      <c r="O311" s="37"/>
      <c r="AD311" s="38"/>
      <c r="AE311" s="38"/>
      <c r="AF311" s="38"/>
      <c r="AG311" s="38"/>
      <c r="AH311" s="38"/>
      <c r="AJ311" s="39"/>
    </row>
    <row r="312" spans="4:36" s="36" customFormat="1" x14ac:dyDescent="0.25">
      <c r="D312" s="37"/>
      <c r="E312" s="38"/>
      <c r="F312" s="38"/>
      <c r="G312" s="38"/>
      <c r="H312" s="38"/>
      <c r="I312" s="38"/>
      <c r="J312" s="38"/>
      <c r="K312" s="38"/>
      <c r="M312" s="37"/>
      <c r="N312" s="37"/>
      <c r="O312" s="37"/>
      <c r="AD312" s="38"/>
      <c r="AE312" s="38"/>
      <c r="AF312" s="38"/>
      <c r="AG312" s="38"/>
      <c r="AH312" s="38"/>
      <c r="AJ312" s="39"/>
    </row>
    <row r="313" spans="4:36" s="36" customFormat="1" x14ac:dyDescent="0.25">
      <c r="D313" s="37"/>
      <c r="E313" s="38"/>
      <c r="F313" s="38"/>
      <c r="G313" s="38"/>
      <c r="H313" s="38"/>
      <c r="I313" s="38"/>
      <c r="J313" s="38"/>
      <c r="K313" s="38"/>
      <c r="M313" s="37"/>
      <c r="N313" s="37"/>
      <c r="O313" s="37"/>
      <c r="AD313" s="38"/>
      <c r="AE313" s="38"/>
      <c r="AF313" s="38"/>
      <c r="AG313" s="38"/>
      <c r="AH313" s="38"/>
      <c r="AJ313" s="39"/>
    </row>
    <row r="314" spans="4:36" s="36" customFormat="1" x14ac:dyDescent="0.25">
      <c r="D314" s="37"/>
      <c r="E314" s="38"/>
      <c r="F314" s="38"/>
      <c r="G314" s="38"/>
      <c r="H314" s="38"/>
      <c r="I314" s="38"/>
      <c r="J314" s="38"/>
      <c r="K314" s="38"/>
      <c r="M314" s="37"/>
      <c r="N314" s="37"/>
      <c r="O314" s="37"/>
      <c r="AD314" s="38"/>
      <c r="AE314" s="38"/>
      <c r="AF314" s="38"/>
      <c r="AG314" s="38"/>
      <c r="AH314" s="38"/>
      <c r="AJ314" s="39"/>
    </row>
    <row r="315" spans="4:36" s="36" customFormat="1" x14ac:dyDescent="0.25">
      <c r="D315" s="37"/>
      <c r="E315" s="38"/>
      <c r="F315" s="38"/>
      <c r="G315" s="38"/>
      <c r="H315" s="38"/>
      <c r="I315" s="38"/>
      <c r="J315" s="38"/>
      <c r="K315" s="38"/>
      <c r="M315" s="37"/>
      <c r="N315" s="37"/>
      <c r="O315" s="37"/>
      <c r="AD315" s="38"/>
      <c r="AE315" s="38"/>
      <c r="AF315" s="38"/>
      <c r="AG315" s="38"/>
      <c r="AH315" s="38"/>
      <c r="AJ315" s="39"/>
    </row>
    <row r="316" spans="4:36" s="36" customFormat="1" x14ac:dyDescent="0.25">
      <c r="D316" s="37"/>
      <c r="E316" s="38"/>
      <c r="F316" s="38"/>
      <c r="G316" s="38"/>
      <c r="H316" s="38"/>
      <c r="I316" s="38"/>
      <c r="J316" s="38"/>
      <c r="K316" s="38"/>
      <c r="M316" s="37"/>
      <c r="N316" s="37"/>
      <c r="O316" s="37"/>
      <c r="AD316" s="38"/>
      <c r="AE316" s="38"/>
      <c r="AF316" s="38"/>
      <c r="AG316" s="38"/>
      <c r="AH316" s="38"/>
      <c r="AJ316" s="39"/>
    </row>
    <row r="317" spans="4:36" s="36" customFormat="1" x14ac:dyDescent="0.25">
      <c r="D317" s="37"/>
      <c r="E317" s="38"/>
      <c r="F317" s="38"/>
      <c r="G317" s="38"/>
      <c r="H317" s="38"/>
      <c r="I317" s="38"/>
      <c r="J317" s="38"/>
      <c r="K317" s="38"/>
      <c r="M317" s="37"/>
      <c r="N317" s="37"/>
      <c r="O317" s="37"/>
      <c r="AD317" s="38"/>
      <c r="AE317" s="38"/>
      <c r="AF317" s="38"/>
      <c r="AG317" s="38"/>
      <c r="AH317" s="38"/>
      <c r="AJ317" s="39"/>
    </row>
    <row r="318" spans="4:36" s="36" customFormat="1" x14ac:dyDescent="0.25">
      <c r="D318" s="37"/>
      <c r="E318" s="38"/>
      <c r="F318" s="38"/>
      <c r="G318" s="38"/>
      <c r="H318" s="38"/>
      <c r="I318" s="38"/>
      <c r="J318" s="38"/>
      <c r="K318" s="38"/>
      <c r="M318" s="37"/>
      <c r="N318" s="37"/>
      <c r="O318" s="37"/>
      <c r="AD318" s="38"/>
      <c r="AE318" s="38"/>
      <c r="AF318" s="38"/>
      <c r="AG318" s="38"/>
      <c r="AH318" s="38"/>
      <c r="AJ318" s="39"/>
    </row>
    <row r="319" spans="4:36" s="36" customFormat="1" x14ac:dyDescent="0.25">
      <c r="D319" s="37"/>
      <c r="E319" s="38"/>
      <c r="F319" s="38"/>
      <c r="G319" s="38"/>
      <c r="H319" s="38"/>
      <c r="I319" s="38"/>
      <c r="J319" s="38"/>
      <c r="K319" s="38"/>
      <c r="M319" s="37"/>
      <c r="N319" s="37"/>
      <c r="O319" s="37"/>
      <c r="AD319" s="38"/>
      <c r="AE319" s="38"/>
      <c r="AF319" s="38"/>
      <c r="AG319" s="38"/>
      <c r="AH319" s="38"/>
      <c r="AJ319" s="39"/>
    </row>
    <row r="320" spans="4:36" s="36" customFormat="1" x14ac:dyDescent="0.25">
      <c r="D320" s="37"/>
      <c r="E320" s="38"/>
      <c r="F320" s="38"/>
      <c r="G320" s="38"/>
      <c r="H320" s="38"/>
      <c r="I320" s="38"/>
      <c r="J320" s="38"/>
      <c r="K320" s="38"/>
      <c r="M320" s="37"/>
      <c r="N320" s="37"/>
      <c r="O320" s="37"/>
      <c r="AD320" s="38"/>
      <c r="AE320" s="38"/>
      <c r="AF320" s="38"/>
      <c r="AG320" s="38"/>
      <c r="AH320" s="38"/>
      <c r="AJ320" s="39"/>
    </row>
    <row r="321" spans="4:36" s="36" customFormat="1" x14ac:dyDescent="0.25">
      <c r="D321" s="37"/>
      <c r="E321" s="38"/>
      <c r="F321" s="38"/>
      <c r="G321" s="38"/>
      <c r="H321" s="38"/>
      <c r="I321" s="38"/>
      <c r="J321" s="38"/>
      <c r="K321" s="38"/>
      <c r="M321" s="37"/>
      <c r="N321" s="37"/>
      <c r="O321" s="37"/>
      <c r="AD321" s="38"/>
      <c r="AE321" s="38"/>
      <c r="AF321" s="38"/>
      <c r="AG321" s="38"/>
      <c r="AH321" s="38"/>
      <c r="AJ321" s="39"/>
    </row>
    <row r="322" spans="4:36" s="36" customFormat="1" x14ac:dyDescent="0.25">
      <c r="D322" s="37"/>
      <c r="E322" s="38"/>
      <c r="F322" s="38"/>
      <c r="G322" s="38"/>
      <c r="H322" s="38"/>
      <c r="I322" s="38"/>
      <c r="J322" s="38"/>
      <c r="K322" s="38"/>
      <c r="M322" s="37"/>
      <c r="N322" s="37"/>
      <c r="O322" s="37"/>
      <c r="AD322" s="38"/>
      <c r="AE322" s="38"/>
      <c r="AF322" s="38"/>
      <c r="AG322" s="38"/>
      <c r="AH322" s="38"/>
      <c r="AJ322" s="39"/>
    </row>
    <row r="323" spans="4:36" s="36" customFormat="1" x14ac:dyDescent="0.25">
      <c r="D323" s="37"/>
      <c r="E323" s="38"/>
      <c r="F323" s="38"/>
      <c r="G323" s="38"/>
      <c r="H323" s="38"/>
      <c r="I323" s="38"/>
      <c r="J323" s="38"/>
      <c r="K323" s="38"/>
      <c r="M323" s="37"/>
      <c r="N323" s="37"/>
      <c r="O323" s="37"/>
      <c r="AD323" s="38"/>
      <c r="AE323" s="38"/>
      <c r="AF323" s="38"/>
      <c r="AG323" s="38"/>
      <c r="AH323" s="38"/>
      <c r="AJ323" s="39"/>
    </row>
    <row r="324" spans="4:36" s="36" customFormat="1" x14ac:dyDescent="0.25">
      <c r="D324" s="37"/>
      <c r="E324" s="38"/>
      <c r="F324" s="38"/>
      <c r="G324" s="38"/>
      <c r="H324" s="38"/>
      <c r="I324" s="38"/>
      <c r="J324" s="38"/>
      <c r="K324" s="38"/>
      <c r="M324" s="37"/>
      <c r="N324" s="37"/>
      <c r="O324" s="37"/>
      <c r="AD324" s="38"/>
      <c r="AE324" s="38"/>
      <c r="AF324" s="38"/>
      <c r="AG324" s="38"/>
      <c r="AH324" s="38"/>
      <c r="AJ324" s="39"/>
    </row>
    <row r="325" spans="4:36" s="36" customFormat="1" x14ac:dyDescent="0.25">
      <c r="D325" s="37"/>
      <c r="E325" s="38"/>
      <c r="F325" s="38"/>
      <c r="G325" s="38"/>
      <c r="H325" s="38"/>
      <c r="I325" s="38"/>
      <c r="J325" s="38"/>
      <c r="K325" s="38"/>
      <c r="M325" s="37"/>
      <c r="N325" s="37"/>
      <c r="O325" s="37"/>
      <c r="AD325" s="38"/>
      <c r="AE325" s="38"/>
      <c r="AF325" s="38"/>
      <c r="AG325" s="38"/>
      <c r="AH325" s="38"/>
      <c r="AJ325" s="39"/>
    </row>
    <row r="326" spans="4:36" s="36" customFormat="1" x14ac:dyDescent="0.25">
      <c r="D326" s="37"/>
      <c r="E326" s="38"/>
      <c r="F326" s="38"/>
      <c r="G326" s="38"/>
      <c r="H326" s="38"/>
      <c r="I326" s="38"/>
      <c r="J326" s="38"/>
      <c r="K326" s="38"/>
      <c r="M326" s="37"/>
      <c r="N326" s="37"/>
      <c r="O326" s="37"/>
      <c r="AD326" s="38"/>
      <c r="AE326" s="38"/>
      <c r="AF326" s="38"/>
      <c r="AG326" s="38"/>
      <c r="AH326" s="38"/>
      <c r="AJ326" s="39"/>
    </row>
    <row r="327" spans="4:36" s="36" customFormat="1" x14ac:dyDescent="0.25">
      <c r="D327" s="37"/>
      <c r="E327" s="38"/>
      <c r="F327" s="38"/>
      <c r="G327" s="38"/>
      <c r="H327" s="38"/>
      <c r="I327" s="38"/>
      <c r="J327" s="38"/>
      <c r="K327" s="38"/>
      <c r="M327" s="37"/>
      <c r="N327" s="37"/>
      <c r="O327" s="37"/>
      <c r="AD327" s="38"/>
      <c r="AE327" s="38"/>
      <c r="AF327" s="38"/>
      <c r="AG327" s="38"/>
      <c r="AH327" s="38"/>
      <c r="AJ327" s="39"/>
    </row>
    <row r="328" spans="4:36" s="36" customFormat="1" x14ac:dyDescent="0.25">
      <c r="D328" s="37"/>
      <c r="E328" s="38"/>
      <c r="F328" s="38"/>
      <c r="G328" s="38"/>
      <c r="H328" s="38"/>
      <c r="I328" s="38"/>
      <c r="J328" s="38"/>
      <c r="K328" s="38"/>
      <c r="M328" s="37"/>
      <c r="N328" s="37"/>
      <c r="O328" s="37"/>
      <c r="AD328" s="38"/>
      <c r="AE328" s="38"/>
      <c r="AF328" s="38"/>
      <c r="AG328" s="38"/>
      <c r="AH328" s="38"/>
      <c r="AJ328" s="39"/>
    </row>
    <row r="329" spans="4:36" s="36" customFormat="1" x14ac:dyDescent="0.25">
      <c r="D329" s="37"/>
      <c r="E329" s="38"/>
      <c r="F329" s="38"/>
      <c r="G329" s="38"/>
      <c r="H329" s="38"/>
      <c r="I329" s="38"/>
      <c r="J329" s="38"/>
      <c r="K329" s="38"/>
      <c r="M329" s="37"/>
      <c r="N329" s="37"/>
      <c r="O329" s="37"/>
      <c r="AD329" s="38"/>
      <c r="AE329" s="38"/>
      <c r="AF329" s="38"/>
      <c r="AG329" s="38"/>
      <c r="AH329" s="38"/>
      <c r="AJ329" s="39"/>
    </row>
    <row r="330" spans="4:36" s="36" customFormat="1" x14ac:dyDescent="0.25">
      <c r="D330" s="37"/>
      <c r="E330" s="38"/>
      <c r="F330" s="38"/>
      <c r="G330" s="38"/>
      <c r="H330" s="38"/>
      <c r="I330" s="38"/>
      <c r="J330" s="38"/>
      <c r="K330" s="38"/>
      <c r="M330" s="37"/>
      <c r="N330" s="37"/>
      <c r="O330" s="37"/>
      <c r="AD330" s="38"/>
      <c r="AE330" s="38"/>
      <c r="AF330" s="38"/>
      <c r="AG330" s="38"/>
      <c r="AH330" s="38"/>
      <c r="AJ330" s="39"/>
    </row>
    <row r="331" spans="4:36" s="36" customFormat="1" x14ac:dyDescent="0.25">
      <c r="D331" s="37"/>
      <c r="E331" s="38"/>
      <c r="F331" s="38"/>
      <c r="G331" s="38"/>
      <c r="H331" s="38"/>
      <c r="I331" s="38"/>
      <c r="J331" s="38"/>
      <c r="K331" s="38"/>
      <c r="M331" s="37"/>
      <c r="N331" s="37"/>
      <c r="O331" s="37"/>
      <c r="AD331" s="38"/>
      <c r="AE331" s="38"/>
      <c r="AF331" s="38"/>
      <c r="AG331" s="38"/>
      <c r="AH331" s="38"/>
      <c r="AJ331" s="39"/>
    </row>
    <row r="332" spans="4:36" s="36" customFormat="1" x14ac:dyDescent="0.25">
      <c r="D332" s="37"/>
      <c r="E332" s="38"/>
      <c r="F332" s="38"/>
      <c r="G332" s="38"/>
      <c r="H332" s="38"/>
      <c r="I332" s="38"/>
      <c r="J332" s="38"/>
      <c r="K332" s="38"/>
      <c r="M332" s="37"/>
      <c r="N332" s="37"/>
      <c r="O332" s="37"/>
      <c r="AD332" s="38"/>
      <c r="AE332" s="38"/>
      <c r="AF332" s="38"/>
      <c r="AG332" s="38"/>
      <c r="AH332" s="38"/>
      <c r="AJ332" s="39"/>
    </row>
    <row r="333" spans="4:36" s="36" customFormat="1" x14ac:dyDescent="0.25">
      <c r="D333" s="37"/>
      <c r="E333" s="38"/>
      <c r="F333" s="38"/>
      <c r="G333" s="38"/>
      <c r="H333" s="38"/>
      <c r="I333" s="38"/>
      <c r="J333" s="38"/>
      <c r="K333" s="38"/>
      <c r="M333" s="37"/>
      <c r="N333" s="37"/>
      <c r="O333" s="37"/>
      <c r="AD333" s="38"/>
      <c r="AE333" s="38"/>
      <c r="AF333" s="38"/>
      <c r="AG333" s="38"/>
      <c r="AH333" s="38"/>
      <c r="AJ333" s="39"/>
    </row>
    <row r="334" spans="4:36" s="36" customFormat="1" x14ac:dyDescent="0.25">
      <c r="D334" s="37"/>
      <c r="E334" s="38"/>
      <c r="F334" s="38"/>
      <c r="G334" s="38"/>
      <c r="H334" s="38"/>
      <c r="I334" s="38"/>
      <c r="J334" s="38"/>
      <c r="K334" s="38"/>
      <c r="M334" s="37"/>
      <c r="N334" s="37"/>
      <c r="O334" s="37"/>
      <c r="AD334" s="38"/>
      <c r="AE334" s="38"/>
      <c r="AF334" s="38"/>
      <c r="AG334" s="38"/>
      <c r="AH334" s="38"/>
      <c r="AJ334" s="39"/>
    </row>
    <row r="335" spans="4:36" s="36" customFormat="1" x14ac:dyDescent="0.25">
      <c r="D335" s="37"/>
      <c r="E335" s="38"/>
      <c r="F335" s="38"/>
      <c r="G335" s="38"/>
      <c r="H335" s="38"/>
      <c r="I335" s="38"/>
      <c r="J335" s="38"/>
      <c r="K335" s="38"/>
      <c r="M335" s="37"/>
      <c r="N335" s="37"/>
      <c r="O335" s="37"/>
      <c r="AD335" s="38"/>
      <c r="AE335" s="38"/>
      <c r="AF335" s="38"/>
      <c r="AG335" s="38"/>
      <c r="AH335" s="38"/>
      <c r="AJ335" s="39"/>
    </row>
    <row r="336" spans="4:36" s="36" customFormat="1" x14ac:dyDescent="0.25">
      <c r="D336" s="37"/>
      <c r="E336" s="38"/>
      <c r="F336" s="38"/>
      <c r="G336" s="38"/>
      <c r="H336" s="38"/>
      <c r="I336" s="38"/>
      <c r="J336" s="38"/>
      <c r="K336" s="38"/>
      <c r="M336" s="37"/>
      <c r="N336" s="37"/>
      <c r="O336" s="37"/>
      <c r="AD336" s="38"/>
      <c r="AE336" s="38"/>
      <c r="AF336" s="38"/>
      <c r="AG336" s="38"/>
      <c r="AH336" s="38"/>
      <c r="AJ336" s="39"/>
    </row>
    <row r="337" spans="4:36" s="36" customFormat="1" x14ac:dyDescent="0.25">
      <c r="D337" s="37"/>
      <c r="E337" s="38"/>
      <c r="F337" s="38"/>
      <c r="G337" s="38"/>
      <c r="H337" s="38"/>
      <c r="I337" s="38"/>
      <c r="J337" s="38"/>
      <c r="K337" s="38"/>
      <c r="M337" s="37"/>
      <c r="N337" s="37"/>
      <c r="O337" s="37"/>
      <c r="AD337" s="38"/>
      <c r="AE337" s="38"/>
      <c r="AF337" s="38"/>
      <c r="AG337" s="38"/>
      <c r="AH337" s="38"/>
      <c r="AJ337" s="39"/>
    </row>
    <row r="338" spans="4:36" s="36" customFormat="1" x14ac:dyDescent="0.25">
      <c r="D338" s="37"/>
      <c r="E338" s="38"/>
      <c r="F338" s="38"/>
      <c r="G338" s="38"/>
      <c r="H338" s="38"/>
      <c r="I338" s="38"/>
      <c r="J338" s="38"/>
      <c r="K338" s="38"/>
      <c r="M338" s="37"/>
      <c r="N338" s="37"/>
      <c r="O338" s="37"/>
      <c r="AD338" s="38"/>
      <c r="AE338" s="38"/>
      <c r="AF338" s="38"/>
      <c r="AG338" s="38"/>
      <c r="AH338" s="38"/>
      <c r="AJ338" s="39"/>
    </row>
    <row r="339" spans="4:36" s="36" customFormat="1" x14ac:dyDescent="0.25">
      <c r="D339" s="37"/>
      <c r="E339" s="38"/>
      <c r="F339" s="38"/>
      <c r="G339" s="38"/>
      <c r="H339" s="38"/>
      <c r="I339" s="38"/>
      <c r="J339" s="38"/>
      <c r="K339" s="38"/>
      <c r="M339" s="37"/>
      <c r="N339" s="37"/>
      <c r="O339" s="37"/>
      <c r="AD339" s="38"/>
      <c r="AE339" s="38"/>
      <c r="AF339" s="38"/>
      <c r="AG339" s="38"/>
      <c r="AH339" s="38"/>
      <c r="AJ339" s="39"/>
    </row>
    <row r="340" spans="4:36" s="36" customFormat="1" x14ac:dyDescent="0.25">
      <c r="D340" s="37"/>
      <c r="E340" s="38"/>
      <c r="F340" s="38"/>
      <c r="G340" s="38"/>
      <c r="H340" s="38"/>
      <c r="I340" s="38"/>
      <c r="J340" s="38"/>
      <c r="K340" s="38"/>
      <c r="M340" s="37"/>
      <c r="N340" s="37"/>
      <c r="O340" s="37"/>
      <c r="AD340" s="38"/>
      <c r="AE340" s="38"/>
      <c r="AF340" s="38"/>
      <c r="AG340" s="38"/>
      <c r="AH340" s="38"/>
      <c r="AJ340" s="39"/>
    </row>
    <row r="341" spans="4:36" s="36" customFormat="1" x14ac:dyDescent="0.25">
      <c r="D341" s="37"/>
      <c r="E341" s="38"/>
      <c r="F341" s="38"/>
      <c r="G341" s="38"/>
      <c r="H341" s="38"/>
      <c r="I341" s="38"/>
      <c r="J341" s="38"/>
      <c r="K341" s="38"/>
      <c r="M341" s="37"/>
      <c r="N341" s="37"/>
      <c r="O341" s="37"/>
      <c r="AD341" s="38"/>
      <c r="AE341" s="38"/>
      <c r="AF341" s="38"/>
      <c r="AG341" s="38"/>
      <c r="AH341" s="38"/>
      <c r="AJ341" s="39"/>
    </row>
    <row r="342" spans="4:36" s="36" customFormat="1" x14ac:dyDescent="0.25">
      <c r="D342" s="37"/>
      <c r="E342" s="38"/>
      <c r="F342" s="38"/>
      <c r="G342" s="38"/>
      <c r="H342" s="38"/>
      <c r="I342" s="38"/>
      <c r="J342" s="38"/>
      <c r="K342" s="38"/>
      <c r="M342" s="37"/>
      <c r="N342" s="37"/>
      <c r="O342" s="37"/>
      <c r="AD342" s="38"/>
      <c r="AE342" s="38"/>
      <c r="AF342" s="38"/>
      <c r="AG342" s="38"/>
      <c r="AH342" s="38"/>
      <c r="AJ342" s="39"/>
    </row>
    <row r="343" spans="4:36" s="36" customFormat="1" x14ac:dyDescent="0.25">
      <c r="D343" s="37"/>
      <c r="E343" s="38"/>
      <c r="F343" s="38"/>
      <c r="G343" s="38"/>
      <c r="H343" s="38"/>
      <c r="I343" s="38"/>
      <c r="J343" s="38"/>
      <c r="K343" s="38"/>
      <c r="M343" s="37"/>
      <c r="N343" s="37"/>
      <c r="O343" s="37"/>
      <c r="AD343" s="38"/>
      <c r="AE343" s="38"/>
      <c r="AF343" s="38"/>
      <c r="AG343" s="38"/>
      <c r="AH343" s="38"/>
      <c r="AJ343" s="39"/>
    </row>
    <row r="344" spans="4:36" s="36" customFormat="1" x14ac:dyDescent="0.25">
      <c r="D344" s="37"/>
      <c r="E344" s="38"/>
      <c r="F344" s="38"/>
      <c r="G344" s="38"/>
      <c r="H344" s="38"/>
      <c r="I344" s="38"/>
      <c r="J344" s="38"/>
      <c r="K344" s="38"/>
      <c r="M344" s="37"/>
      <c r="N344" s="37"/>
      <c r="O344" s="37"/>
      <c r="AD344" s="38"/>
      <c r="AE344" s="38"/>
      <c r="AF344" s="38"/>
      <c r="AG344" s="38"/>
      <c r="AH344" s="38"/>
      <c r="AJ344" s="39"/>
    </row>
    <row r="345" spans="4:36" s="36" customFormat="1" x14ac:dyDescent="0.25">
      <c r="D345" s="37"/>
      <c r="E345" s="38"/>
      <c r="F345" s="38"/>
      <c r="G345" s="38"/>
      <c r="H345" s="38"/>
      <c r="I345" s="38"/>
      <c r="J345" s="38"/>
      <c r="K345" s="38"/>
      <c r="M345" s="37"/>
      <c r="N345" s="37"/>
      <c r="O345" s="37"/>
      <c r="AD345" s="38"/>
      <c r="AE345" s="38"/>
      <c r="AF345" s="38"/>
      <c r="AG345" s="38"/>
      <c r="AH345" s="38"/>
      <c r="AJ345" s="39"/>
    </row>
    <row r="346" spans="4:36" s="36" customFormat="1" x14ac:dyDescent="0.25">
      <c r="D346" s="37"/>
      <c r="E346" s="38"/>
      <c r="F346" s="38"/>
      <c r="G346" s="38"/>
      <c r="H346" s="38"/>
      <c r="I346" s="38"/>
      <c r="J346" s="38"/>
      <c r="K346" s="38"/>
      <c r="M346" s="37"/>
      <c r="N346" s="37"/>
      <c r="O346" s="37"/>
      <c r="AD346" s="38"/>
      <c r="AE346" s="38"/>
      <c r="AF346" s="38"/>
      <c r="AG346" s="38"/>
      <c r="AH346" s="38"/>
      <c r="AJ346" s="39"/>
    </row>
    <row r="347" spans="4:36" s="36" customFormat="1" x14ac:dyDescent="0.25">
      <c r="D347" s="37"/>
      <c r="E347" s="38"/>
      <c r="F347" s="38"/>
      <c r="G347" s="38"/>
      <c r="H347" s="38"/>
      <c r="I347" s="38"/>
      <c r="J347" s="38"/>
      <c r="K347" s="38"/>
      <c r="M347" s="37"/>
      <c r="N347" s="37"/>
      <c r="O347" s="37"/>
      <c r="AD347" s="38"/>
      <c r="AE347" s="38"/>
      <c r="AF347" s="38"/>
      <c r="AG347" s="38"/>
      <c r="AH347" s="38"/>
      <c r="AJ347" s="39"/>
    </row>
    <row r="348" spans="4:36" s="36" customFormat="1" x14ac:dyDescent="0.25">
      <c r="D348" s="37"/>
      <c r="E348" s="38"/>
      <c r="F348" s="38"/>
      <c r="G348" s="38"/>
      <c r="H348" s="38"/>
      <c r="I348" s="38"/>
      <c r="J348" s="38"/>
      <c r="K348" s="38"/>
      <c r="M348" s="37"/>
      <c r="N348" s="37"/>
      <c r="O348" s="37"/>
      <c r="AD348" s="38"/>
      <c r="AE348" s="38"/>
      <c r="AF348" s="38"/>
      <c r="AG348" s="38"/>
      <c r="AH348" s="38"/>
      <c r="AJ348" s="39"/>
    </row>
    <row r="349" spans="4:36" s="36" customFormat="1" x14ac:dyDescent="0.25">
      <c r="D349" s="37"/>
      <c r="E349" s="38"/>
      <c r="F349" s="38"/>
      <c r="G349" s="38"/>
      <c r="H349" s="38"/>
      <c r="I349" s="38"/>
      <c r="J349" s="38"/>
      <c r="K349" s="38"/>
      <c r="M349" s="37"/>
      <c r="N349" s="37"/>
      <c r="O349" s="37"/>
      <c r="AD349" s="38"/>
      <c r="AE349" s="38"/>
      <c r="AF349" s="38"/>
      <c r="AG349" s="38"/>
      <c r="AH349" s="38"/>
      <c r="AJ349" s="39"/>
    </row>
    <row r="350" spans="4:36" s="36" customFormat="1" x14ac:dyDescent="0.25">
      <c r="D350" s="37"/>
      <c r="E350" s="38"/>
      <c r="F350" s="38"/>
      <c r="G350" s="38"/>
      <c r="H350" s="38"/>
      <c r="I350" s="38"/>
      <c r="J350" s="38"/>
      <c r="K350" s="38"/>
      <c r="M350" s="37"/>
      <c r="N350" s="37"/>
      <c r="O350" s="37"/>
      <c r="AD350" s="38"/>
      <c r="AE350" s="38"/>
      <c r="AF350" s="38"/>
      <c r="AG350" s="38"/>
      <c r="AH350" s="38"/>
      <c r="AJ350" s="39"/>
    </row>
    <row r="351" spans="4:36" s="36" customFormat="1" x14ac:dyDescent="0.25">
      <c r="D351" s="37"/>
      <c r="E351" s="38"/>
      <c r="F351" s="38"/>
      <c r="G351" s="38"/>
      <c r="H351" s="38"/>
      <c r="I351" s="38"/>
      <c r="J351" s="38"/>
      <c r="K351" s="38"/>
      <c r="M351" s="37"/>
      <c r="N351" s="37"/>
      <c r="O351" s="37"/>
      <c r="AD351" s="38"/>
      <c r="AE351" s="38"/>
      <c r="AF351" s="38"/>
      <c r="AG351" s="38"/>
      <c r="AH351" s="38"/>
      <c r="AJ351" s="39"/>
    </row>
    <row r="352" spans="4:36" s="36" customFormat="1" x14ac:dyDescent="0.25">
      <c r="D352" s="37"/>
      <c r="E352" s="38"/>
      <c r="F352" s="38"/>
      <c r="G352" s="38"/>
      <c r="H352" s="38"/>
      <c r="I352" s="38"/>
      <c r="J352" s="38"/>
      <c r="K352" s="38"/>
      <c r="M352" s="37"/>
      <c r="N352" s="37"/>
      <c r="O352" s="37"/>
      <c r="AD352" s="38"/>
      <c r="AE352" s="38"/>
      <c r="AF352" s="38"/>
      <c r="AG352" s="38"/>
      <c r="AH352" s="38"/>
      <c r="AJ352" s="39"/>
    </row>
    <row r="353" spans="4:36" s="36" customFormat="1" x14ac:dyDescent="0.25">
      <c r="D353" s="37"/>
      <c r="E353" s="38"/>
      <c r="F353" s="38"/>
      <c r="G353" s="38"/>
      <c r="H353" s="38"/>
      <c r="I353" s="38"/>
      <c r="J353" s="38"/>
      <c r="K353" s="38"/>
      <c r="M353" s="37"/>
      <c r="N353" s="37"/>
      <c r="O353" s="37"/>
      <c r="AD353" s="38"/>
      <c r="AE353" s="38"/>
      <c r="AF353" s="38"/>
      <c r="AG353" s="38"/>
      <c r="AH353" s="38"/>
      <c r="AJ353" s="39"/>
    </row>
    <row r="354" spans="4:36" s="36" customFormat="1" x14ac:dyDescent="0.25">
      <c r="D354" s="37"/>
      <c r="E354" s="38"/>
      <c r="F354" s="38"/>
      <c r="G354" s="38"/>
      <c r="H354" s="38"/>
      <c r="I354" s="38"/>
      <c r="J354" s="38"/>
      <c r="K354" s="38"/>
      <c r="M354" s="37"/>
      <c r="N354" s="37"/>
      <c r="O354" s="37"/>
      <c r="AD354" s="38"/>
      <c r="AE354" s="38"/>
      <c r="AF354" s="38"/>
      <c r="AG354" s="38"/>
      <c r="AH354" s="38"/>
      <c r="AJ354" s="39"/>
    </row>
    <row r="355" spans="4:36" s="36" customFormat="1" x14ac:dyDescent="0.25">
      <c r="D355" s="37"/>
      <c r="E355" s="38"/>
      <c r="F355" s="38"/>
      <c r="G355" s="38"/>
      <c r="H355" s="38"/>
      <c r="I355" s="38"/>
      <c r="J355" s="38"/>
      <c r="K355" s="38"/>
      <c r="M355" s="37"/>
      <c r="N355" s="37"/>
      <c r="O355" s="37"/>
      <c r="AD355" s="38"/>
      <c r="AE355" s="38"/>
      <c r="AF355" s="38"/>
      <c r="AG355" s="38"/>
      <c r="AH355" s="38"/>
      <c r="AJ355" s="39"/>
    </row>
    <row r="356" spans="4:36" s="36" customFormat="1" x14ac:dyDescent="0.25">
      <c r="D356" s="37"/>
      <c r="E356" s="38"/>
      <c r="F356" s="38"/>
      <c r="G356" s="38"/>
      <c r="H356" s="38"/>
      <c r="I356" s="38"/>
      <c r="J356" s="38"/>
      <c r="K356" s="38"/>
      <c r="M356" s="37"/>
      <c r="N356" s="37"/>
      <c r="O356" s="37"/>
      <c r="AD356" s="38"/>
      <c r="AE356" s="38"/>
      <c r="AF356" s="38"/>
      <c r="AG356" s="38"/>
      <c r="AH356" s="38"/>
      <c r="AJ356" s="39"/>
    </row>
    <row r="357" spans="4:36" s="36" customFormat="1" x14ac:dyDescent="0.25">
      <c r="D357" s="37"/>
      <c r="E357" s="38"/>
      <c r="F357" s="38"/>
      <c r="G357" s="38"/>
      <c r="H357" s="38"/>
      <c r="I357" s="38"/>
      <c r="J357" s="38"/>
      <c r="K357" s="38"/>
      <c r="M357" s="37"/>
      <c r="N357" s="37"/>
      <c r="O357" s="37"/>
      <c r="AD357" s="38"/>
      <c r="AE357" s="38"/>
      <c r="AF357" s="38"/>
      <c r="AG357" s="38"/>
      <c r="AH357" s="38"/>
      <c r="AJ357" s="39"/>
    </row>
    <row r="358" spans="4:36" s="36" customFormat="1" x14ac:dyDescent="0.25">
      <c r="D358" s="37"/>
      <c r="E358" s="38"/>
      <c r="F358" s="38"/>
      <c r="G358" s="38"/>
      <c r="H358" s="38"/>
      <c r="I358" s="38"/>
      <c r="J358" s="38"/>
      <c r="K358" s="38"/>
      <c r="M358" s="37"/>
      <c r="N358" s="37"/>
      <c r="O358" s="37"/>
      <c r="AD358" s="38"/>
      <c r="AE358" s="38"/>
      <c r="AF358" s="38"/>
      <c r="AG358" s="38"/>
      <c r="AH358" s="38"/>
      <c r="AJ358" s="39"/>
    </row>
    <row r="359" spans="4:36" s="36" customFormat="1" x14ac:dyDescent="0.25">
      <c r="D359" s="37"/>
      <c r="E359" s="38"/>
      <c r="F359" s="38"/>
      <c r="G359" s="38"/>
      <c r="H359" s="38"/>
      <c r="I359" s="38"/>
      <c r="J359" s="38"/>
      <c r="K359" s="38"/>
      <c r="M359" s="37"/>
      <c r="N359" s="37"/>
      <c r="O359" s="37"/>
      <c r="AD359" s="38"/>
      <c r="AE359" s="38"/>
      <c r="AF359" s="38"/>
      <c r="AG359" s="38"/>
      <c r="AH359" s="38"/>
      <c r="AJ359" s="39"/>
    </row>
    <row r="360" spans="4:36" s="36" customFormat="1" x14ac:dyDescent="0.25">
      <c r="D360" s="37"/>
      <c r="E360" s="38"/>
      <c r="F360" s="38"/>
      <c r="G360" s="38"/>
      <c r="H360" s="38"/>
      <c r="I360" s="38"/>
      <c r="J360" s="38"/>
      <c r="K360" s="38"/>
      <c r="M360" s="37"/>
      <c r="N360" s="37"/>
      <c r="O360" s="37"/>
      <c r="AD360" s="38"/>
      <c r="AE360" s="38"/>
      <c r="AF360" s="38"/>
      <c r="AG360" s="38"/>
      <c r="AH360" s="38"/>
      <c r="AJ360" s="39"/>
    </row>
    <row r="361" spans="4:36" s="36" customFormat="1" x14ac:dyDescent="0.25">
      <c r="D361" s="37"/>
      <c r="E361" s="38"/>
      <c r="F361" s="38"/>
      <c r="G361" s="38"/>
      <c r="H361" s="38"/>
      <c r="I361" s="38"/>
      <c r="J361" s="38"/>
      <c r="K361" s="38"/>
      <c r="M361" s="37"/>
      <c r="N361" s="37"/>
      <c r="O361" s="37"/>
      <c r="AD361" s="38"/>
      <c r="AE361" s="38"/>
      <c r="AF361" s="38"/>
      <c r="AG361" s="38"/>
      <c r="AH361" s="38"/>
      <c r="AJ361" s="39"/>
    </row>
    <row r="362" spans="4:36" s="36" customFormat="1" x14ac:dyDescent="0.25">
      <c r="D362" s="37"/>
      <c r="E362" s="38"/>
      <c r="F362" s="38"/>
      <c r="G362" s="38"/>
      <c r="H362" s="38"/>
      <c r="I362" s="38"/>
      <c r="J362" s="38"/>
      <c r="K362" s="38"/>
      <c r="M362" s="37"/>
      <c r="N362" s="37"/>
      <c r="O362" s="37"/>
      <c r="AD362" s="38"/>
      <c r="AE362" s="38"/>
      <c r="AF362" s="38"/>
      <c r="AG362" s="38"/>
      <c r="AH362" s="38"/>
      <c r="AJ362" s="39"/>
    </row>
    <row r="363" spans="4:36" s="36" customFormat="1" x14ac:dyDescent="0.25">
      <c r="D363" s="37"/>
      <c r="E363" s="38"/>
      <c r="F363" s="38"/>
      <c r="G363" s="38"/>
      <c r="H363" s="38"/>
      <c r="I363" s="38"/>
      <c r="J363" s="38"/>
      <c r="K363" s="38"/>
      <c r="M363" s="37"/>
      <c r="N363" s="37"/>
      <c r="O363" s="37"/>
      <c r="AD363" s="38"/>
      <c r="AE363" s="38"/>
      <c r="AF363" s="38"/>
      <c r="AG363" s="38"/>
      <c r="AH363" s="38"/>
      <c r="AJ363" s="39"/>
    </row>
    <row r="364" spans="4:36" s="36" customFormat="1" x14ac:dyDescent="0.25">
      <c r="D364" s="37"/>
      <c r="E364" s="38"/>
      <c r="F364" s="38"/>
      <c r="G364" s="38"/>
      <c r="H364" s="38"/>
      <c r="I364" s="38"/>
      <c r="J364" s="38"/>
      <c r="K364" s="38"/>
      <c r="M364" s="37"/>
      <c r="N364" s="37"/>
      <c r="O364" s="37"/>
      <c r="AD364" s="38"/>
      <c r="AE364" s="38"/>
      <c r="AF364" s="38"/>
      <c r="AG364" s="38"/>
      <c r="AH364" s="38"/>
      <c r="AJ364" s="39"/>
    </row>
    <row r="365" spans="4:36" s="36" customFormat="1" x14ac:dyDescent="0.25">
      <c r="D365" s="37"/>
      <c r="E365" s="38"/>
      <c r="F365" s="38"/>
      <c r="G365" s="38"/>
      <c r="H365" s="38"/>
      <c r="I365" s="38"/>
      <c r="J365" s="38"/>
      <c r="K365" s="38"/>
      <c r="M365" s="37"/>
      <c r="N365" s="37"/>
      <c r="O365" s="37"/>
      <c r="AD365" s="38"/>
      <c r="AE365" s="38"/>
      <c r="AF365" s="38"/>
      <c r="AG365" s="38"/>
      <c r="AH365" s="38"/>
      <c r="AJ365" s="39"/>
    </row>
    <row r="366" spans="4:36" s="36" customFormat="1" x14ac:dyDescent="0.25">
      <c r="D366" s="37"/>
      <c r="E366" s="38"/>
      <c r="F366" s="38"/>
      <c r="G366" s="38"/>
      <c r="H366" s="38"/>
      <c r="I366" s="38"/>
      <c r="J366" s="38"/>
      <c r="K366" s="38"/>
      <c r="M366" s="37"/>
      <c r="N366" s="37"/>
      <c r="O366" s="37"/>
      <c r="AD366" s="38"/>
      <c r="AE366" s="38"/>
      <c r="AF366" s="38"/>
      <c r="AG366" s="38"/>
      <c r="AH366" s="38"/>
      <c r="AJ366" s="39"/>
    </row>
    <row r="367" spans="4:36" s="36" customFormat="1" x14ac:dyDescent="0.25">
      <c r="D367" s="37"/>
      <c r="E367" s="38"/>
      <c r="F367" s="38"/>
      <c r="G367" s="38"/>
      <c r="H367" s="38"/>
      <c r="I367" s="38"/>
      <c r="J367" s="38"/>
      <c r="K367" s="38"/>
      <c r="M367" s="37"/>
      <c r="N367" s="37"/>
      <c r="O367" s="37"/>
      <c r="AD367" s="38"/>
      <c r="AE367" s="38"/>
      <c r="AF367" s="38"/>
      <c r="AG367" s="38"/>
      <c r="AH367" s="38"/>
      <c r="AJ367" s="39"/>
    </row>
    <row r="368" spans="4:36" s="36" customFormat="1" x14ac:dyDescent="0.25">
      <c r="D368" s="37"/>
      <c r="E368" s="38"/>
      <c r="F368" s="38"/>
      <c r="G368" s="38"/>
      <c r="H368" s="38"/>
      <c r="I368" s="38"/>
      <c r="J368" s="38"/>
      <c r="K368" s="38"/>
      <c r="M368" s="37"/>
      <c r="N368" s="37"/>
      <c r="O368" s="37"/>
      <c r="AD368" s="38"/>
      <c r="AE368" s="38"/>
      <c r="AF368" s="38"/>
      <c r="AG368" s="38"/>
      <c r="AH368" s="38"/>
      <c r="AJ368" s="39"/>
    </row>
    <row r="369" spans="4:36" s="36" customFormat="1" x14ac:dyDescent="0.25">
      <c r="D369" s="37"/>
      <c r="E369" s="38"/>
      <c r="F369" s="38"/>
      <c r="G369" s="38"/>
      <c r="H369" s="38"/>
      <c r="I369" s="38"/>
      <c r="J369" s="38"/>
      <c r="K369" s="38"/>
      <c r="M369" s="37"/>
      <c r="N369" s="37"/>
      <c r="O369" s="37"/>
      <c r="AD369" s="38"/>
      <c r="AE369" s="38"/>
      <c r="AF369" s="38"/>
      <c r="AG369" s="38"/>
      <c r="AH369" s="38"/>
      <c r="AJ369" s="39"/>
    </row>
    <row r="370" spans="4:36" s="36" customFormat="1" x14ac:dyDescent="0.25">
      <c r="D370" s="37"/>
      <c r="E370" s="38"/>
      <c r="F370" s="38"/>
      <c r="G370" s="38"/>
      <c r="H370" s="38"/>
      <c r="I370" s="38"/>
      <c r="J370" s="38"/>
      <c r="K370" s="38"/>
      <c r="M370" s="37"/>
      <c r="N370" s="37"/>
      <c r="O370" s="37"/>
      <c r="AD370" s="38"/>
      <c r="AE370" s="38"/>
      <c r="AF370" s="38"/>
      <c r="AG370" s="38"/>
      <c r="AH370" s="38"/>
      <c r="AJ370" s="39"/>
    </row>
    <row r="371" spans="4:36" s="36" customFormat="1" x14ac:dyDescent="0.25">
      <c r="D371" s="37"/>
      <c r="E371" s="38"/>
      <c r="F371" s="38"/>
      <c r="G371" s="38"/>
      <c r="H371" s="38"/>
      <c r="I371" s="38"/>
      <c r="J371" s="38"/>
      <c r="K371" s="38"/>
      <c r="M371" s="37"/>
      <c r="N371" s="37"/>
      <c r="O371" s="37"/>
      <c r="AD371" s="38"/>
      <c r="AE371" s="38"/>
      <c r="AF371" s="38"/>
      <c r="AG371" s="38"/>
      <c r="AH371" s="38"/>
      <c r="AJ371" s="39"/>
    </row>
    <row r="372" spans="4:36" s="36" customFormat="1" x14ac:dyDescent="0.25">
      <c r="D372" s="37"/>
      <c r="E372" s="38"/>
      <c r="F372" s="38"/>
      <c r="G372" s="38"/>
      <c r="H372" s="38"/>
      <c r="I372" s="38"/>
      <c r="J372" s="38"/>
      <c r="K372" s="38"/>
      <c r="M372" s="37"/>
      <c r="N372" s="37"/>
      <c r="O372" s="37"/>
      <c r="AD372" s="38"/>
      <c r="AE372" s="38"/>
      <c r="AF372" s="38"/>
      <c r="AG372" s="38"/>
      <c r="AH372" s="38"/>
      <c r="AJ372" s="39"/>
    </row>
    <row r="373" spans="4:36" s="36" customFormat="1" x14ac:dyDescent="0.25">
      <c r="D373" s="37"/>
      <c r="E373" s="38"/>
      <c r="F373" s="38"/>
      <c r="G373" s="38"/>
      <c r="H373" s="38"/>
      <c r="I373" s="38"/>
      <c r="J373" s="38"/>
      <c r="K373" s="38"/>
      <c r="M373" s="37"/>
      <c r="N373" s="37"/>
      <c r="O373" s="37"/>
      <c r="AD373" s="38"/>
      <c r="AE373" s="38"/>
      <c r="AF373" s="38"/>
      <c r="AG373" s="38"/>
      <c r="AH373" s="38"/>
      <c r="AJ373" s="39"/>
    </row>
    <row r="374" spans="4:36" s="36" customFormat="1" x14ac:dyDescent="0.25">
      <c r="D374" s="37"/>
      <c r="E374" s="38"/>
      <c r="F374" s="38"/>
      <c r="G374" s="38"/>
      <c r="H374" s="38"/>
      <c r="I374" s="38"/>
      <c r="J374" s="38"/>
      <c r="K374" s="38"/>
      <c r="M374" s="37"/>
      <c r="N374" s="37"/>
      <c r="O374" s="37"/>
      <c r="AD374" s="38"/>
      <c r="AE374" s="38"/>
      <c r="AF374" s="38"/>
      <c r="AG374" s="38"/>
      <c r="AH374" s="38"/>
      <c r="AJ374" s="39"/>
    </row>
    <row r="375" spans="4:36" s="36" customFormat="1" x14ac:dyDescent="0.25">
      <c r="D375" s="37"/>
      <c r="E375" s="38"/>
      <c r="F375" s="38"/>
      <c r="G375" s="38"/>
      <c r="H375" s="38"/>
      <c r="I375" s="38"/>
      <c r="J375" s="38"/>
      <c r="K375" s="38"/>
      <c r="M375" s="37"/>
      <c r="N375" s="37"/>
      <c r="O375" s="37"/>
      <c r="AD375" s="38"/>
      <c r="AE375" s="38"/>
      <c r="AF375" s="38"/>
      <c r="AG375" s="38"/>
      <c r="AH375" s="38"/>
      <c r="AJ375" s="39"/>
    </row>
    <row r="376" spans="4:36" s="36" customFormat="1" x14ac:dyDescent="0.25">
      <c r="D376" s="37"/>
      <c r="E376" s="38"/>
      <c r="F376" s="38"/>
      <c r="G376" s="38"/>
      <c r="H376" s="38"/>
      <c r="I376" s="38"/>
      <c r="J376" s="38"/>
      <c r="K376" s="38"/>
      <c r="M376" s="37"/>
      <c r="N376" s="37"/>
      <c r="O376" s="37"/>
      <c r="AD376" s="38"/>
      <c r="AE376" s="38"/>
      <c r="AF376" s="38"/>
      <c r="AG376" s="38"/>
      <c r="AH376" s="38"/>
      <c r="AJ376" s="39"/>
    </row>
    <row r="377" spans="4:36" s="36" customFormat="1" x14ac:dyDescent="0.25">
      <c r="D377" s="37"/>
      <c r="E377" s="38"/>
      <c r="F377" s="38"/>
      <c r="G377" s="38"/>
      <c r="H377" s="38"/>
      <c r="I377" s="38"/>
      <c r="J377" s="38"/>
      <c r="K377" s="38"/>
      <c r="M377" s="37"/>
      <c r="N377" s="37"/>
      <c r="O377" s="37"/>
      <c r="AD377" s="38"/>
      <c r="AE377" s="38"/>
      <c r="AF377" s="38"/>
      <c r="AG377" s="38"/>
      <c r="AH377" s="38"/>
      <c r="AJ377" s="39"/>
    </row>
    <row r="378" spans="4:36" s="36" customFormat="1" x14ac:dyDescent="0.25">
      <c r="D378" s="37"/>
      <c r="E378" s="38"/>
      <c r="F378" s="38"/>
      <c r="G378" s="38"/>
      <c r="H378" s="38"/>
      <c r="I378" s="38"/>
      <c r="J378" s="38"/>
      <c r="K378" s="38"/>
      <c r="M378" s="37"/>
      <c r="N378" s="37"/>
      <c r="O378" s="37"/>
      <c r="AD378" s="38"/>
      <c r="AE378" s="38"/>
      <c r="AF378" s="38"/>
      <c r="AG378" s="38"/>
      <c r="AH378" s="38"/>
      <c r="AJ378" s="39"/>
    </row>
    <row r="379" spans="4:36" s="36" customFormat="1" x14ac:dyDescent="0.25">
      <c r="D379" s="37"/>
      <c r="E379" s="38"/>
      <c r="F379" s="38"/>
      <c r="G379" s="38"/>
      <c r="H379" s="38"/>
      <c r="I379" s="38"/>
      <c r="J379" s="38"/>
      <c r="K379" s="38"/>
      <c r="M379" s="37"/>
      <c r="N379" s="37"/>
      <c r="O379" s="37"/>
      <c r="AD379" s="38"/>
      <c r="AE379" s="38"/>
      <c r="AF379" s="38"/>
      <c r="AG379" s="38"/>
      <c r="AH379" s="38"/>
      <c r="AJ379" s="39"/>
    </row>
    <row r="380" spans="4:36" s="36" customFormat="1" x14ac:dyDescent="0.25">
      <c r="D380" s="37"/>
      <c r="E380" s="38"/>
      <c r="F380" s="38"/>
      <c r="G380" s="38"/>
      <c r="H380" s="38"/>
      <c r="I380" s="38"/>
      <c r="J380" s="38"/>
      <c r="K380" s="38"/>
      <c r="M380" s="37"/>
      <c r="N380" s="37"/>
      <c r="O380" s="37"/>
      <c r="AD380" s="38"/>
      <c r="AE380" s="38"/>
      <c r="AF380" s="38"/>
      <c r="AG380" s="38"/>
      <c r="AH380" s="38"/>
      <c r="AJ380" s="39"/>
    </row>
    <row r="381" spans="4:36" s="36" customFormat="1" x14ac:dyDescent="0.25">
      <c r="D381" s="37"/>
      <c r="E381" s="38"/>
      <c r="F381" s="38"/>
      <c r="G381" s="38"/>
      <c r="H381" s="38"/>
      <c r="I381" s="38"/>
      <c r="J381" s="38"/>
      <c r="K381" s="38"/>
      <c r="M381" s="37"/>
      <c r="N381" s="37"/>
      <c r="O381" s="37"/>
      <c r="AD381" s="38"/>
      <c r="AE381" s="38"/>
      <c r="AF381" s="38"/>
      <c r="AG381" s="38"/>
      <c r="AH381" s="38"/>
      <c r="AJ381" s="39"/>
    </row>
    <row r="382" spans="4:36" s="36" customFormat="1" x14ac:dyDescent="0.25">
      <c r="D382" s="37"/>
      <c r="E382" s="38"/>
      <c r="F382" s="38"/>
      <c r="G382" s="38"/>
      <c r="H382" s="38"/>
      <c r="I382" s="38"/>
      <c r="J382" s="38"/>
      <c r="K382" s="38"/>
      <c r="M382" s="37"/>
      <c r="N382" s="37"/>
      <c r="O382" s="37"/>
      <c r="AD382" s="38"/>
      <c r="AE382" s="38"/>
      <c r="AF382" s="38"/>
      <c r="AG382" s="38"/>
      <c r="AH382" s="38"/>
      <c r="AJ382" s="39"/>
    </row>
    <row r="383" spans="4:36" s="36" customFormat="1" x14ac:dyDescent="0.25">
      <c r="D383" s="37"/>
      <c r="E383" s="38"/>
      <c r="F383" s="38"/>
      <c r="G383" s="38"/>
      <c r="H383" s="38"/>
      <c r="I383" s="38"/>
      <c r="J383" s="38"/>
      <c r="K383" s="38"/>
      <c r="M383" s="37"/>
      <c r="N383" s="37"/>
      <c r="O383" s="37"/>
      <c r="AD383" s="38"/>
      <c r="AE383" s="38"/>
      <c r="AF383" s="38"/>
      <c r="AG383" s="38"/>
      <c r="AH383" s="38"/>
      <c r="AJ383" s="39"/>
    </row>
    <row r="384" spans="4:36" s="36" customFormat="1" x14ac:dyDescent="0.25">
      <c r="D384" s="37"/>
      <c r="E384" s="38"/>
      <c r="F384" s="38"/>
      <c r="G384" s="38"/>
      <c r="H384" s="38"/>
      <c r="I384" s="38"/>
      <c r="J384" s="38"/>
      <c r="K384" s="38"/>
      <c r="M384" s="37"/>
      <c r="N384" s="37"/>
      <c r="O384" s="37"/>
      <c r="AD384" s="38"/>
      <c r="AE384" s="38"/>
      <c r="AF384" s="38"/>
      <c r="AG384" s="38"/>
      <c r="AH384" s="38"/>
      <c r="AJ384" s="39"/>
    </row>
    <row r="385" spans="4:36" s="36" customFormat="1" x14ac:dyDescent="0.25">
      <c r="D385" s="37"/>
      <c r="E385" s="38"/>
      <c r="F385" s="38"/>
      <c r="G385" s="38"/>
      <c r="H385" s="38"/>
      <c r="I385" s="38"/>
      <c r="J385" s="38"/>
      <c r="K385" s="38"/>
      <c r="M385" s="37"/>
      <c r="N385" s="37"/>
      <c r="O385" s="37"/>
      <c r="AD385" s="38"/>
      <c r="AE385" s="38"/>
      <c r="AF385" s="38"/>
      <c r="AG385" s="38"/>
      <c r="AH385" s="38"/>
      <c r="AJ385" s="39"/>
    </row>
    <row r="386" spans="4:36" s="36" customFormat="1" x14ac:dyDescent="0.25">
      <c r="D386" s="37"/>
      <c r="E386" s="38"/>
      <c r="F386" s="38"/>
      <c r="G386" s="38"/>
      <c r="H386" s="38"/>
      <c r="I386" s="38"/>
      <c r="J386" s="38"/>
      <c r="K386" s="38"/>
      <c r="M386" s="37"/>
      <c r="N386" s="37"/>
      <c r="O386" s="37"/>
      <c r="AD386" s="38"/>
      <c r="AE386" s="38"/>
      <c r="AF386" s="38"/>
      <c r="AG386" s="38"/>
      <c r="AH386" s="38"/>
      <c r="AJ386" s="39"/>
    </row>
    <row r="387" spans="4:36" s="36" customFormat="1" x14ac:dyDescent="0.25">
      <c r="D387" s="37"/>
      <c r="E387" s="38"/>
      <c r="F387" s="38"/>
      <c r="G387" s="38"/>
      <c r="H387" s="38"/>
      <c r="I387" s="38"/>
      <c r="J387" s="38"/>
      <c r="K387" s="38"/>
      <c r="M387" s="37"/>
      <c r="N387" s="37"/>
      <c r="O387" s="37"/>
      <c r="AD387" s="38"/>
      <c r="AE387" s="38"/>
      <c r="AF387" s="38"/>
      <c r="AG387" s="38"/>
      <c r="AH387" s="38"/>
      <c r="AJ387" s="39"/>
    </row>
    <row r="388" spans="4:36" s="36" customFormat="1" x14ac:dyDescent="0.25">
      <c r="D388" s="37"/>
      <c r="E388" s="38"/>
      <c r="F388" s="38"/>
      <c r="G388" s="38"/>
      <c r="H388" s="38"/>
      <c r="I388" s="38"/>
      <c r="J388" s="38"/>
      <c r="K388" s="38"/>
      <c r="M388" s="37"/>
      <c r="N388" s="37"/>
      <c r="O388" s="37"/>
      <c r="AD388" s="38"/>
      <c r="AE388" s="38"/>
      <c r="AF388" s="38"/>
      <c r="AG388" s="38"/>
      <c r="AH388" s="38"/>
      <c r="AJ388" s="39"/>
    </row>
    <row r="389" spans="4:36" s="36" customFormat="1" x14ac:dyDescent="0.25">
      <c r="D389" s="37"/>
      <c r="E389" s="38"/>
      <c r="F389" s="38"/>
      <c r="G389" s="38"/>
      <c r="H389" s="38"/>
      <c r="I389" s="38"/>
      <c r="J389" s="38"/>
      <c r="K389" s="38"/>
      <c r="M389" s="37"/>
      <c r="N389" s="37"/>
      <c r="O389" s="37"/>
      <c r="AD389" s="38"/>
      <c r="AE389" s="38"/>
      <c r="AF389" s="38"/>
      <c r="AG389" s="38"/>
      <c r="AH389" s="38"/>
      <c r="AJ389" s="39"/>
    </row>
    <row r="390" spans="4:36" s="36" customFormat="1" x14ac:dyDescent="0.25">
      <c r="D390" s="37"/>
      <c r="E390" s="38"/>
      <c r="F390" s="38"/>
      <c r="G390" s="38"/>
      <c r="H390" s="38"/>
      <c r="I390" s="38"/>
      <c r="J390" s="38"/>
      <c r="K390" s="38"/>
      <c r="M390" s="37"/>
      <c r="N390" s="37"/>
      <c r="O390" s="37"/>
      <c r="AD390" s="38"/>
      <c r="AE390" s="38"/>
      <c r="AF390" s="38"/>
      <c r="AG390" s="38"/>
      <c r="AH390" s="38"/>
      <c r="AJ390" s="39"/>
    </row>
    <row r="391" spans="4:36" s="36" customFormat="1" x14ac:dyDescent="0.25">
      <c r="D391" s="37"/>
      <c r="E391" s="38"/>
      <c r="F391" s="38"/>
      <c r="G391" s="38"/>
      <c r="H391" s="38"/>
      <c r="I391" s="38"/>
      <c r="J391" s="38"/>
      <c r="K391" s="38"/>
      <c r="M391" s="37"/>
      <c r="N391" s="37"/>
      <c r="O391" s="37"/>
      <c r="AD391" s="38"/>
      <c r="AE391" s="38"/>
      <c r="AF391" s="38"/>
      <c r="AG391" s="38"/>
      <c r="AH391" s="38"/>
      <c r="AJ391" s="39"/>
    </row>
    <row r="392" spans="4:36" s="36" customFormat="1" x14ac:dyDescent="0.25">
      <c r="D392" s="37"/>
      <c r="E392" s="38"/>
      <c r="F392" s="38"/>
      <c r="G392" s="38"/>
      <c r="H392" s="38"/>
      <c r="I392" s="38"/>
      <c r="J392" s="38"/>
      <c r="K392" s="38"/>
      <c r="M392" s="37"/>
      <c r="N392" s="37"/>
      <c r="O392" s="37"/>
      <c r="AD392" s="38"/>
      <c r="AE392" s="38"/>
      <c r="AF392" s="38"/>
      <c r="AG392" s="38"/>
      <c r="AH392" s="38"/>
      <c r="AJ392" s="39"/>
    </row>
    <row r="393" spans="4:36" s="36" customFormat="1" x14ac:dyDescent="0.25">
      <c r="D393" s="37"/>
      <c r="E393" s="38"/>
      <c r="F393" s="38"/>
      <c r="G393" s="38"/>
      <c r="H393" s="38"/>
      <c r="I393" s="38"/>
      <c r="J393" s="38"/>
      <c r="K393" s="38"/>
      <c r="M393" s="37"/>
      <c r="N393" s="37"/>
      <c r="O393" s="37"/>
      <c r="AD393" s="38"/>
      <c r="AE393" s="38"/>
      <c r="AF393" s="38"/>
      <c r="AG393" s="38"/>
      <c r="AH393" s="38"/>
      <c r="AJ393" s="39"/>
    </row>
    <row r="394" spans="4:36" s="36" customFormat="1" x14ac:dyDescent="0.25">
      <c r="D394" s="37"/>
      <c r="E394" s="38"/>
      <c r="F394" s="38"/>
      <c r="G394" s="38"/>
      <c r="H394" s="38"/>
      <c r="I394" s="38"/>
      <c r="J394" s="38"/>
      <c r="K394" s="38"/>
      <c r="M394" s="37"/>
      <c r="N394" s="37"/>
      <c r="O394" s="37"/>
      <c r="AD394" s="38"/>
      <c r="AE394" s="38"/>
      <c r="AF394" s="38"/>
      <c r="AG394" s="38"/>
      <c r="AH394" s="38"/>
      <c r="AJ394" s="39"/>
    </row>
    <row r="395" spans="4:36" s="36" customFormat="1" x14ac:dyDescent="0.25">
      <c r="D395" s="37"/>
      <c r="E395" s="38"/>
      <c r="F395" s="38"/>
      <c r="G395" s="38"/>
      <c r="H395" s="38"/>
      <c r="I395" s="38"/>
      <c r="J395" s="38"/>
      <c r="K395" s="38"/>
      <c r="M395" s="37"/>
      <c r="N395" s="37"/>
      <c r="O395" s="37"/>
      <c r="AD395" s="38"/>
      <c r="AE395" s="38"/>
      <c r="AF395" s="38"/>
      <c r="AG395" s="38"/>
      <c r="AH395" s="38"/>
      <c r="AJ395" s="39"/>
    </row>
    <row r="396" spans="4:36" s="36" customFormat="1" x14ac:dyDescent="0.25">
      <c r="D396" s="37"/>
      <c r="E396" s="38"/>
      <c r="F396" s="38"/>
      <c r="G396" s="38"/>
      <c r="H396" s="38"/>
      <c r="I396" s="38"/>
      <c r="J396" s="38"/>
      <c r="K396" s="38"/>
      <c r="M396" s="37"/>
      <c r="N396" s="37"/>
      <c r="O396" s="37"/>
      <c r="AD396" s="38"/>
      <c r="AE396" s="38"/>
      <c r="AF396" s="38"/>
      <c r="AG396" s="38"/>
      <c r="AH396" s="38"/>
      <c r="AJ396" s="39"/>
    </row>
    <row r="397" spans="4:36" s="36" customFormat="1" x14ac:dyDescent="0.25">
      <c r="D397" s="37"/>
      <c r="E397" s="38"/>
      <c r="F397" s="38"/>
      <c r="G397" s="38"/>
      <c r="H397" s="38"/>
      <c r="I397" s="38"/>
      <c r="J397" s="38"/>
      <c r="K397" s="38"/>
      <c r="M397" s="37"/>
      <c r="N397" s="37"/>
      <c r="O397" s="37"/>
      <c r="AD397" s="38"/>
      <c r="AE397" s="38"/>
      <c r="AF397" s="38"/>
      <c r="AG397" s="38"/>
      <c r="AH397" s="38"/>
      <c r="AJ397" s="39"/>
    </row>
    <row r="398" spans="4:36" s="36" customFormat="1" x14ac:dyDescent="0.25">
      <c r="D398" s="37"/>
      <c r="E398" s="38"/>
      <c r="F398" s="38"/>
      <c r="G398" s="38"/>
      <c r="H398" s="38"/>
      <c r="I398" s="38"/>
      <c r="J398" s="38"/>
      <c r="K398" s="38"/>
      <c r="M398" s="37"/>
      <c r="N398" s="37"/>
      <c r="O398" s="37"/>
      <c r="AD398" s="38"/>
      <c r="AE398" s="38"/>
      <c r="AF398" s="38"/>
      <c r="AG398" s="38"/>
      <c r="AH398" s="38"/>
      <c r="AJ398" s="39"/>
    </row>
    <row r="399" spans="4:36" s="36" customFormat="1" x14ac:dyDescent="0.25">
      <c r="D399" s="37"/>
      <c r="E399" s="38"/>
      <c r="F399" s="38"/>
      <c r="G399" s="38"/>
      <c r="H399" s="38"/>
      <c r="I399" s="38"/>
      <c r="J399" s="38"/>
      <c r="K399" s="38"/>
      <c r="M399" s="37"/>
      <c r="N399" s="37"/>
      <c r="O399" s="37"/>
      <c r="AD399" s="38"/>
      <c r="AE399" s="38"/>
      <c r="AF399" s="38"/>
      <c r="AG399" s="38"/>
      <c r="AH399" s="38"/>
      <c r="AJ399" s="39"/>
    </row>
    <row r="400" spans="4:36" s="36" customFormat="1" x14ac:dyDescent="0.25">
      <c r="D400" s="37"/>
      <c r="E400" s="38"/>
      <c r="F400" s="38"/>
      <c r="G400" s="38"/>
      <c r="H400" s="38"/>
      <c r="I400" s="38"/>
      <c r="J400" s="38"/>
      <c r="K400" s="38"/>
      <c r="M400" s="37"/>
      <c r="N400" s="37"/>
      <c r="O400" s="37"/>
      <c r="AD400" s="38"/>
      <c r="AE400" s="38"/>
      <c r="AF400" s="38"/>
      <c r="AG400" s="38"/>
      <c r="AH400" s="38"/>
      <c r="AJ400" s="39"/>
    </row>
    <row r="401" spans="4:36" s="36" customFormat="1" x14ac:dyDescent="0.25">
      <c r="D401" s="37"/>
      <c r="E401" s="38"/>
      <c r="F401" s="38"/>
      <c r="G401" s="38"/>
      <c r="H401" s="38"/>
      <c r="I401" s="38"/>
      <c r="J401" s="38"/>
      <c r="K401" s="38"/>
      <c r="M401" s="37"/>
      <c r="N401" s="37"/>
      <c r="O401" s="37"/>
      <c r="AD401" s="38"/>
      <c r="AE401" s="38"/>
      <c r="AF401" s="38"/>
      <c r="AG401" s="38"/>
      <c r="AH401" s="38"/>
      <c r="AJ401" s="39"/>
    </row>
    <row r="402" spans="4:36" s="36" customFormat="1" x14ac:dyDescent="0.25">
      <c r="D402" s="37"/>
      <c r="E402" s="38"/>
      <c r="F402" s="38"/>
      <c r="G402" s="38"/>
      <c r="H402" s="38"/>
      <c r="I402" s="38"/>
      <c r="J402" s="38"/>
      <c r="K402" s="38"/>
      <c r="M402" s="37"/>
      <c r="N402" s="37"/>
      <c r="O402" s="37"/>
      <c r="AD402" s="38"/>
      <c r="AE402" s="38"/>
      <c r="AF402" s="38"/>
      <c r="AG402" s="38"/>
      <c r="AH402" s="38"/>
      <c r="AJ402" s="39"/>
    </row>
    <row r="403" spans="4:36" s="36" customFormat="1" x14ac:dyDescent="0.25">
      <c r="D403" s="37"/>
      <c r="E403" s="38"/>
      <c r="F403" s="38"/>
      <c r="G403" s="38"/>
      <c r="H403" s="38"/>
      <c r="I403" s="38"/>
      <c r="J403" s="38"/>
      <c r="K403" s="38"/>
      <c r="M403" s="37"/>
      <c r="N403" s="37"/>
      <c r="O403" s="37"/>
      <c r="AD403" s="38"/>
      <c r="AE403" s="38"/>
      <c r="AF403" s="38"/>
      <c r="AG403" s="38"/>
      <c r="AH403" s="38"/>
      <c r="AJ403" s="39"/>
    </row>
    <row r="404" spans="4:36" s="36" customFormat="1" x14ac:dyDescent="0.25">
      <c r="D404" s="37"/>
      <c r="E404" s="38"/>
      <c r="F404" s="38"/>
      <c r="G404" s="38"/>
      <c r="H404" s="38"/>
      <c r="I404" s="38"/>
      <c r="J404" s="38"/>
      <c r="K404" s="38"/>
      <c r="M404" s="37"/>
      <c r="N404" s="37"/>
      <c r="O404" s="37"/>
      <c r="AD404" s="38"/>
      <c r="AE404" s="38"/>
      <c r="AF404" s="38"/>
      <c r="AG404" s="38"/>
      <c r="AH404" s="38"/>
      <c r="AJ404" s="39"/>
    </row>
    <row r="405" spans="4:36" s="36" customFormat="1" x14ac:dyDescent="0.25">
      <c r="D405" s="37"/>
      <c r="E405" s="38"/>
      <c r="F405" s="38"/>
      <c r="G405" s="38"/>
      <c r="H405" s="38"/>
      <c r="I405" s="38"/>
      <c r="J405" s="38"/>
      <c r="K405" s="38"/>
      <c r="M405" s="37"/>
      <c r="N405" s="37"/>
      <c r="O405" s="37"/>
      <c r="AD405" s="38"/>
      <c r="AE405" s="38"/>
      <c r="AF405" s="38"/>
      <c r="AG405" s="38"/>
      <c r="AH405" s="38"/>
      <c r="AJ405" s="39"/>
    </row>
    <row r="406" spans="4:36" s="36" customFormat="1" x14ac:dyDescent="0.25">
      <c r="D406" s="37"/>
      <c r="E406" s="38"/>
      <c r="F406" s="38"/>
      <c r="G406" s="38"/>
      <c r="H406" s="38"/>
      <c r="I406" s="38"/>
      <c r="J406" s="38"/>
      <c r="K406" s="38"/>
      <c r="M406" s="37"/>
      <c r="N406" s="37"/>
      <c r="O406" s="37"/>
      <c r="AD406" s="38"/>
      <c r="AE406" s="38"/>
      <c r="AF406" s="38"/>
      <c r="AG406" s="38"/>
      <c r="AH406" s="38"/>
      <c r="AJ406" s="39"/>
    </row>
    <row r="407" spans="4:36" s="36" customFormat="1" x14ac:dyDescent="0.25">
      <c r="D407" s="37"/>
      <c r="E407" s="38"/>
      <c r="F407" s="38"/>
      <c r="G407" s="38"/>
      <c r="H407" s="38"/>
      <c r="I407" s="38"/>
      <c r="J407" s="38"/>
      <c r="K407" s="38"/>
      <c r="M407" s="37"/>
      <c r="N407" s="37"/>
      <c r="O407" s="37"/>
      <c r="AD407" s="38"/>
      <c r="AE407" s="38"/>
      <c r="AF407" s="38"/>
      <c r="AG407" s="38"/>
      <c r="AH407" s="38"/>
      <c r="AJ407" s="39"/>
    </row>
    <row r="408" spans="4:36" s="36" customFormat="1" x14ac:dyDescent="0.25">
      <c r="D408" s="37"/>
      <c r="E408" s="38"/>
      <c r="F408" s="38"/>
      <c r="G408" s="38"/>
      <c r="H408" s="38"/>
      <c r="I408" s="38"/>
      <c r="J408" s="38"/>
      <c r="K408" s="38"/>
      <c r="M408" s="37"/>
      <c r="N408" s="37"/>
      <c r="O408" s="37"/>
      <c r="AD408" s="38"/>
      <c r="AE408" s="38"/>
      <c r="AF408" s="38"/>
      <c r="AG408" s="38"/>
      <c r="AH408" s="38"/>
      <c r="AJ408" s="39"/>
    </row>
    <row r="409" spans="4:36" s="36" customFormat="1" x14ac:dyDescent="0.25">
      <c r="D409" s="37"/>
      <c r="E409" s="38"/>
      <c r="F409" s="38"/>
      <c r="G409" s="38"/>
      <c r="H409" s="38"/>
      <c r="I409" s="38"/>
      <c r="J409" s="38"/>
      <c r="K409" s="38"/>
      <c r="M409" s="37"/>
      <c r="N409" s="37"/>
      <c r="O409" s="37"/>
      <c r="AD409" s="38"/>
      <c r="AE409" s="38"/>
      <c r="AF409" s="38"/>
      <c r="AG409" s="38"/>
      <c r="AH409" s="38"/>
      <c r="AJ409" s="39"/>
    </row>
    <row r="410" spans="4:36" s="36" customFormat="1" x14ac:dyDescent="0.25">
      <c r="D410" s="37"/>
      <c r="E410" s="38"/>
      <c r="F410" s="38"/>
      <c r="G410" s="38"/>
      <c r="H410" s="38"/>
      <c r="I410" s="38"/>
      <c r="J410" s="38"/>
      <c r="K410" s="38"/>
      <c r="M410" s="37"/>
      <c r="N410" s="37"/>
      <c r="O410" s="37"/>
      <c r="AD410" s="38"/>
      <c r="AE410" s="38"/>
      <c r="AF410" s="38"/>
      <c r="AG410" s="38"/>
      <c r="AH410" s="38"/>
      <c r="AJ410" s="39"/>
    </row>
    <row r="411" spans="4:36" s="36" customFormat="1" x14ac:dyDescent="0.25">
      <c r="D411" s="37"/>
      <c r="E411" s="38"/>
      <c r="F411" s="38"/>
      <c r="G411" s="38"/>
      <c r="H411" s="38"/>
      <c r="I411" s="38"/>
      <c r="J411" s="38"/>
      <c r="K411" s="38"/>
      <c r="M411" s="37"/>
      <c r="N411" s="37"/>
      <c r="O411" s="37"/>
      <c r="AD411" s="38"/>
      <c r="AE411" s="38"/>
      <c r="AF411" s="38"/>
      <c r="AG411" s="38"/>
      <c r="AH411" s="38"/>
      <c r="AJ411" s="39"/>
    </row>
    <row r="412" spans="4:36" s="36" customFormat="1" x14ac:dyDescent="0.25">
      <c r="D412" s="37"/>
      <c r="E412" s="38"/>
      <c r="F412" s="38"/>
      <c r="G412" s="38"/>
      <c r="H412" s="38"/>
      <c r="I412" s="38"/>
      <c r="J412" s="38"/>
      <c r="K412" s="38"/>
      <c r="M412" s="37"/>
      <c r="N412" s="37"/>
      <c r="O412" s="37"/>
      <c r="AD412" s="38"/>
      <c r="AE412" s="38"/>
      <c r="AF412" s="38"/>
      <c r="AG412" s="38"/>
      <c r="AH412" s="38"/>
      <c r="AJ412" s="39"/>
    </row>
    <row r="413" spans="4:36" s="36" customFormat="1" x14ac:dyDescent="0.25">
      <c r="D413" s="37"/>
      <c r="E413" s="38"/>
      <c r="F413" s="38"/>
      <c r="G413" s="38"/>
      <c r="H413" s="38"/>
      <c r="I413" s="38"/>
      <c r="J413" s="38"/>
      <c r="K413" s="38"/>
      <c r="M413" s="37"/>
      <c r="N413" s="37"/>
      <c r="O413" s="37"/>
      <c r="AD413" s="38"/>
      <c r="AE413" s="38"/>
      <c r="AF413" s="38"/>
      <c r="AG413" s="38"/>
      <c r="AH413" s="38"/>
      <c r="AJ413" s="39"/>
    </row>
    <row r="414" spans="4:36" s="36" customFormat="1" x14ac:dyDescent="0.25">
      <c r="D414" s="37"/>
      <c r="E414" s="38"/>
      <c r="F414" s="38"/>
      <c r="G414" s="38"/>
      <c r="H414" s="38"/>
      <c r="I414" s="38"/>
      <c r="J414" s="38"/>
      <c r="K414" s="38"/>
      <c r="M414" s="37"/>
      <c r="N414" s="37"/>
      <c r="O414" s="37"/>
      <c r="AD414" s="38"/>
      <c r="AE414" s="38"/>
      <c r="AF414" s="38"/>
      <c r="AG414" s="38"/>
      <c r="AH414" s="38"/>
      <c r="AJ414" s="39"/>
    </row>
    <row r="415" spans="4:36" s="36" customFormat="1" x14ac:dyDescent="0.25">
      <c r="D415" s="37"/>
      <c r="E415" s="38"/>
      <c r="F415" s="38"/>
      <c r="G415" s="38"/>
      <c r="H415" s="38"/>
      <c r="I415" s="38"/>
      <c r="J415" s="38"/>
      <c r="K415" s="38"/>
      <c r="M415" s="37"/>
      <c r="N415" s="37"/>
      <c r="O415" s="37"/>
      <c r="AD415" s="38"/>
      <c r="AE415" s="38"/>
      <c r="AF415" s="38"/>
      <c r="AG415" s="38"/>
      <c r="AH415" s="38"/>
      <c r="AJ415" s="39"/>
    </row>
    <row r="416" spans="4:36" s="36" customFormat="1" x14ac:dyDescent="0.25">
      <c r="D416" s="37"/>
      <c r="E416" s="38"/>
      <c r="F416" s="38"/>
      <c r="G416" s="38"/>
      <c r="H416" s="38"/>
      <c r="I416" s="38"/>
      <c r="J416" s="38"/>
      <c r="K416" s="38"/>
      <c r="M416" s="37"/>
      <c r="N416" s="37"/>
      <c r="O416" s="37"/>
      <c r="AD416" s="38"/>
      <c r="AE416" s="38"/>
      <c r="AF416" s="38"/>
      <c r="AG416" s="38"/>
      <c r="AH416" s="38"/>
      <c r="AJ416" s="39"/>
    </row>
    <row r="417" spans="4:36" s="36" customFormat="1" x14ac:dyDescent="0.25">
      <c r="D417" s="37"/>
      <c r="E417" s="38"/>
      <c r="F417" s="38"/>
      <c r="G417" s="38"/>
      <c r="H417" s="38"/>
      <c r="I417" s="38"/>
      <c r="J417" s="38"/>
      <c r="K417" s="38"/>
      <c r="M417" s="37"/>
      <c r="N417" s="37"/>
      <c r="O417" s="37"/>
      <c r="AD417" s="38"/>
      <c r="AE417" s="38"/>
      <c r="AF417" s="38"/>
      <c r="AG417" s="38"/>
      <c r="AH417" s="38"/>
      <c r="AJ417" s="39"/>
    </row>
    <row r="418" spans="4:36" s="36" customFormat="1" x14ac:dyDescent="0.25">
      <c r="D418" s="37"/>
      <c r="E418" s="38"/>
      <c r="F418" s="38"/>
      <c r="G418" s="38"/>
      <c r="H418" s="38"/>
      <c r="I418" s="38"/>
      <c r="J418" s="38"/>
      <c r="K418" s="38"/>
      <c r="M418" s="37"/>
      <c r="N418" s="37"/>
      <c r="O418" s="37"/>
      <c r="AD418" s="38"/>
      <c r="AE418" s="38"/>
      <c r="AF418" s="38"/>
      <c r="AG418" s="38"/>
      <c r="AH418" s="38"/>
      <c r="AJ418" s="39"/>
    </row>
    <row r="419" spans="4:36" s="36" customFormat="1" x14ac:dyDescent="0.25">
      <c r="D419" s="37"/>
      <c r="E419" s="38"/>
      <c r="F419" s="38"/>
      <c r="G419" s="38"/>
      <c r="H419" s="38"/>
      <c r="I419" s="38"/>
      <c r="J419" s="38"/>
      <c r="K419" s="38"/>
      <c r="M419" s="37"/>
      <c r="N419" s="37"/>
      <c r="O419" s="37"/>
      <c r="AD419" s="38"/>
      <c r="AE419" s="38"/>
      <c r="AF419" s="38"/>
      <c r="AG419" s="38"/>
      <c r="AH419" s="38"/>
      <c r="AJ419" s="39"/>
    </row>
    <row r="420" spans="4:36" s="36" customFormat="1" x14ac:dyDescent="0.25">
      <c r="D420" s="37"/>
      <c r="E420" s="38"/>
      <c r="F420" s="38"/>
      <c r="G420" s="38"/>
      <c r="H420" s="38"/>
      <c r="I420" s="38"/>
      <c r="J420" s="38"/>
      <c r="K420" s="38"/>
      <c r="M420" s="37"/>
      <c r="N420" s="37"/>
      <c r="O420" s="37"/>
      <c r="AD420" s="38"/>
      <c r="AE420" s="38"/>
      <c r="AF420" s="38"/>
      <c r="AG420" s="38"/>
      <c r="AH420" s="38"/>
      <c r="AJ420" s="39"/>
    </row>
    <row r="421" spans="4:36" s="36" customFormat="1" x14ac:dyDescent="0.25">
      <c r="D421" s="37"/>
      <c r="E421" s="38"/>
      <c r="F421" s="38"/>
      <c r="G421" s="38"/>
      <c r="H421" s="38"/>
      <c r="I421" s="38"/>
      <c r="J421" s="38"/>
      <c r="K421" s="38"/>
      <c r="M421" s="37"/>
      <c r="N421" s="37"/>
      <c r="O421" s="37"/>
      <c r="AD421" s="38"/>
      <c r="AE421" s="38"/>
      <c r="AF421" s="38"/>
      <c r="AG421" s="38"/>
      <c r="AH421" s="38"/>
      <c r="AJ421" s="39"/>
    </row>
    <row r="422" spans="4:36" s="36" customFormat="1" x14ac:dyDescent="0.25">
      <c r="D422" s="37"/>
      <c r="E422" s="38"/>
      <c r="F422" s="38"/>
      <c r="G422" s="38"/>
      <c r="H422" s="38"/>
      <c r="I422" s="38"/>
      <c r="J422" s="38"/>
      <c r="K422" s="38"/>
      <c r="M422" s="37"/>
      <c r="N422" s="37"/>
      <c r="O422" s="37"/>
      <c r="AD422" s="38"/>
      <c r="AE422" s="38"/>
      <c r="AF422" s="38"/>
      <c r="AG422" s="38"/>
      <c r="AH422" s="38"/>
      <c r="AJ422" s="39"/>
    </row>
    <row r="423" spans="4:36" s="36" customFormat="1" x14ac:dyDescent="0.25">
      <c r="D423" s="37"/>
      <c r="E423" s="38"/>
      <c r="F423" s="38"/>
      <c r="G423" s="38"/>
      <c r="H423" s="38"/>
      <c r="I423" s="38"/>
      <c r="J423" s="38"/>
      <c r="K423" s="38"/>
      <c r="M423" s="37"/>
      <c r="N423" s="37"/>
      <c r="O423" s="37"/>
      <c r="AD423" s="38"/>
      <c r="AE423" s="38"/>
      <c r="AF423" s="38"/>
      <c r="AG423" s="38"/>
      <c r="AH423" s="38"/>
      <c r="AJ423" s="39"/>
    </row>
    <row r="424" spans="4:36" s="36" customFormat="1" x14ac:dyDescent="0.25">
      <c r="D424" s="37"/>
      <c r="E424" s="38"/>
      <c r="F424" s="38"/>
      <c r="G424" s="38"/>
      <c r="H424" s="38"/>
      <c r="I424" s="38"/>
      <c r="J424" s="38"/>
      <c r="K424" s="38"/>
      <c r="M424" s="37"/>
      <c r="N424" s="37"/>
      <c r="O424" s="37"/>
      <c r="AD424" s="38"/>
      <c r="AE424" s="38"/>
      <c r="AF424" s="38"/>
      <c r="AG424" s="38"/>
      <c r="AH424" s="38"/>
      <c r="AJ424" s="39"/>
    </row>
    <row r="425" spans="4:36" s="36" customFormat="1" x14ac:dyDescent="0.25">
      <c r="D425" s="37"/>
      <c r="E425" s="38"/>
      <c r="F425" s="38"/>
      <c r="G425" s="38"/>
      <c r="H425" s="38"/>
      <c r="I425" s="38"/>
      <c r="J425" s="38"/>
      <c r="K425" s="38"/>
      <c r="M425" s="37"/>
      <c r="N425" s="37"/>
      <c r="O425" s="37"/>
      <c r="AD425" s="38"/>
      <c r="AE425" s="38"/>
      <c r="AF425" s="38"/>
      <c r="AG425" s="38"/>
      <c r="AH425" s="38"/>
      <c r="AJ425" s="39"/>
    </row>
    <row r="426" spans="4:36" s="36" customFormat="1" x14ac:dyDescent="0.25">
      <c r="D426" s="37"/>
      <c r="E426" s="38"/>
      <c r="F426" s="38"/>
      <c r="G426" s="38"/>
      <c r="H426" s="38"/>
      <c r="I426" s="38"/>
      <c r="J426" s="38"/>
      <c r="K426" s="38"/>
      <c r="M426" s="37"/>
      <c r="N426" s="37"/>
      <c r="O426" s="37"/>
      <c r="AD426" s="38"/>
      <c r="AE426" s="38"/>
      <c r="AF426" s="38"/>
      <c r="AG426" s="38"/>
      <c r="AH426" s="38"/>
      <c r="AJ426" s="39"/>
    </row>
    <row r="427" spans="4:36" s="36" customFormat="1" x14ac:dyDescent="0.25">
      <c r="D427" s="37"/>
      <c r="E427" s="38"/>
      <c r="F427" s="38"/>
      <c r="G427" s="38"/>
      <c r="H427" s="38"/>
      <c r="I427" s="38"/>
      <c r="J427" s="38"/>
      <c r="K427" s="38"/>
      <c r="M427" s="37"/>
      <c r="N427" s="37"/>
      <c r="O427" s="37"/>
      <c r="AD427" s="38"/>
      <c r="AE427" s="38"/>
      <c r="AF427" s="38"/>
      <c r="AG427" s="38"/>
      <c r="AH427" s="38"/>
      <c r="AJ427" s="39"/>
    </row>
    <row r="428" spans="4:36" s="36" customFormat="1" x14ac:dyDescent="0.25">
      <c r="D428" s="37"/>
      <c r="E428" s="38"/>
      <c r="F428" s="38"/>
      <c r="G428" s="38"/>
      <c r="H428" s="38"/>
      <c r="I428" s="38"/>
      <c r="J428" s="38"/>
      <c r="K428" s="38"/>
      <c r="M428" s="37"/>
      <c r="N428" s="37"/>
      <c r="O428" s="37"/>
      <c r="AD428" s="38"/>
      <c r="AE428" s="38"/>
      <c r="AF428" s="38"/>
      <c r="AG428" s="38"/>
      <c r="AH428" s="38"/>
      <c r="AJ428" s="39"/>
    </row>
    <row r="429" spans="4:36" s="36" customFormat="1" x14ac:dyDescent="0.25">
      <c r="D429" s="37"/>
      <c r="E429" s="38"/>
      <c r="F429" s="38"/>
      <c r="G429" s="38"/>
      <c r="H429" s="38"/>
      <c r="I429" s="38"/>
      <c r="J429" s="38"/>
      <c r="K429" s="38"/>
      <c r="M429" s="37"/>
      <c r="N429" s="37"/>
      <c r="O429" s="37"/>
      <c r="AD429" s="38"/>
      <c r="AE429" s="38"/>
      <c r="AF429" s="38"/>
      <c r="AG429" s="38"/>
      <c r="AH429" s="38"/>
      <c r="AJ429" s="39"/>
    </row>
    <row r="430" spans="4:36" s="36" customFormat="1" x14ac:dyDescent="0.25">
      <c r="D430" s="37"/>
      <c r="E430" s="38"/>
      <c r="F430" s="38"/>
      <c r="G430" s="38"/>
      <c r="H430" s="38"/>
      <c r="I430" s="38"/>
      <c r="J430" s="38"/>
      <c r="K430" s="38"/>
      <c r="M430" s="37"/>
      <c r="N430" s="37"/>
      <c r="O430" s="37"/>
      <c r="AD430" s="38"/>
      <c r="AE430" s="38"/>
      <c r="AF430" s="38"/>
      <c r="AG430" s="38"/>
      <c r="AH430" s="38"/>
      <c r="AJ430" s="39"/>
    </row>
    <row r="431" spans="4:36" s="36" customFormat="1" x14ac:dyDescent="0.25">
      <c r="D431" s="37"/>
      <c r="E431" s="38"/>
      <c r="F431" s="38"/>
      <c r="G431" s="38"/>
      <c r="H431" s="38"/>
      <c r="I431" s="38"/>
      <c r="J431" s="38"/>
      <c r="K431" s="38"/>
      <c r="M431" s="37"/>
      <c r="N431" s="37"/>
      <c r="O431" s="37"/>
      <c r="AD431" s="38"/>
      <c r="AE431" s="38"/>
      <c r="AF431" s="38"/>
      <c r="AG431" s="38"/>
      <c r="AH431" s="38"/>
      <c r="AJ431" s="39"/>
    </row>
    <row r="432" spans="4:36" s="36" customFormat="1" x14ac:dyDescent="0.25">
      <c r="D432" s="37"/>
      <c r="E432" s="38"/>
      <c r="F432" s="38"/>
      <c r="G432" s="38"/>
      <c r="H432" s="38"/>
      <c r="I432" s="38"/>
      <c r="J432" s="38"/>
      <c r="K432" s="38"/>
      <c r="M432" s="37"/>
      <c r="N432" s="37"/>
      <c r="O432" s="37"/>
      <c r="AD432" s="38"/>
      <c r="AE432" s="38"/>
      <c r="AF432" s="38"/>
      <c r="AG432" s="38"/>
      <c r="AH432" s="38"/>
      <c r="AJ432" s="39"/>
    </row>
    <row r="433" spans="4:36" s="36" customFormat="1" x14ac:dyDescent="0.25">
      <c r="D433" s="37"/>
      <c r="E433" s="38"/>
      <c r="F433" s="38"/>
      <c r="G433" s="38"/>
      <c r="H433" s="38"/>
      <c r="I433" s="38"/>
      <c r="J433" s="38"/>
      <c r="K433" s="38"/>
      <c r="M433" s="37"/>
      <c r="N433" s="37"/>
      <c r="O433" s="37"/>
      <c r="AD433" s="38"/>
      <c r="AE433" s="38"/>
      <c r="AF433" s="38"/>
      <c r="AG433" s="38"/>
      <c r="AH433" s="38"/>
      <c r="AJ433" s="39"/>
    </row>
    <row r="434" spans="4:36" s="36" customFormat="1" x14ac:dyDescent="0.25">
      <c r="D434" s="37"/>
      <c r="E434" s="38"/>
      <c r="F434" s="38"/>
      <c r="G434" s="38"/>
      <c r="H434" s="38"/>
      <c r="I434" s="38"/>
      <c r="J434" s="38"/>
      <c r="K434" s="38"/>
      <c r="M434" s="37"/>
      <c r="N434" s="37"/>
      <c r="O434" s="37"/>
      <c r="AD434" s="38"/>
      <c r="AE434" s="38"/>
      <c r="AF434" s="38"/>
      <c r="AG434" s="38"/>
      <c r="AH434" s="38"/>
      <c r="AJ434" s="39"/>
    </row>
    <row r="435" spans="4:36" s="36" customFormat="1" x14ac:dyDescent="0.25">
      <c r="D435" s="37"/>
      <c r="E435" s="38"/>
      <c r="F435" s="38"/>
      <c r="G435" s="38"/>
      <c r="H435" s="38"/>
      <c r="I435" s="38"/>
      <c r="J435" s="38"/>
      <c r="K435" s="38"/>
      <c r="M435" s="37"/>
      <c r="N435" s="37"/>
      <c r="O435" s="37"/>
      <c r="AD435" s="38"/>
      <c r="AE435" s="38"/>
      <c r="AF435" s="38"/>
      <c r="AG435" s="38"/>
      <c r="AH435" s="38"/>
      <c r="AJ435" s="39"/>
    </row>
    <row r="436" spans="4:36" s="36" customFormat="1" x14ac:dyDescent="0.25">
      <c r="D436" s="37"/>
      <c r="E436" s="38"/>
      <c r="F436" s="38"/>
      <c r="G436" s="38"/>
      <c r="H436" s="38"/>
      <c r="I436" s="38"/>
      <c r="J436" s="38"/>
      <c r="K436" s="38"/>
      <c r="M436" s="37"/>
      <c r="N436" s="37"/>
      <c r="O436" s="37"/>
      <c r="AD436" s="38"/>
      <c r="AE436" s="38"/>
      <c r="AF436" s="38"/>
      <c r="AG436" s="38"/>
      <c r="AH436" s="38"/>
      <c r="AJ436" s="39"/>
    </row>
    <row r="437" spans="4:36" s="36" customFormat="1" x14ac:dyDescent="0.25">
      <c r="D437" s="37"/>
      <c r="E437" s="38"/>
      <c r="F437" s="38"/>
      <c r="G437" s="38"/>
      <c r="H437" s="38"/>
      <c r="I437" s="38"/>
      <c r="J437" s="38"/>
      <c r="K437" s="38"/>
      <c r="M437" s="37"/>
      <c r="N437" s="37"/>
      <c r="O437" s="37"/>
      <c r="AD437" s="38"/>
      <c r="AE437" s="38"/>
      <c r="AF437" s="38"/>
      <c r="AG437" s="38"/>
      <c r="AH437" s="38"/>
      <c r="AJ437" s="39"/>
    </row>
    <row r="438" spans="4:36" s="36" customFormat="1" x14ac:dyDescent="0.25">
      <c r="D438" s="37"/>
      <c r="E438" s="38"/>
      <c r="F438" s="38"/>
      <c r="G438" s="38"/>
      <c r="H438" s="38"/>
      <c r="I438" s="38"/>
      <c r="J438" s="38"/>
      <c r="K438" s="38"/>
      <c r="M438" s="37"/>
      <c r="N438" s="37"/>
      <c r="O438" s="37"/>
      <c r="AD438" s="38"/>
      <c r="AE438" s="38"/>
      <c r="AF438" s="38"/>
      <c r="AG438" s="38"/>
      <c r="AH438" s="38"/>
      <c r="AJ438" s="39"/>
    </row>
    <row r="439" spans="4:36" s="36" customFormat="1" x14ac:dyDescent="0.25">
      <c r="D439" s="37"/>
      <c r="E439" s="38"/>
      <c r="F439" s="38"/>
      <c r="G439" s="38"/>
      <c r="H439" s="38"/>
      <c r="I439" s="38"/>
      <c r="J439" s="38"/>
      <c r="K439" s="38"/>
      <c r="M439" s="37"/>
      <c r="N439" s="37"/>
      <c r="O439" s="37"/>
      <c r="AD439" s="38"/>
      <c r="AE439" s="38"/>
      <c r="AF439" s="38"/>
      <c r="AG439" s="38"/>
      <c r="AH439" s="38"/>
      <c r="AJ439" s="39"/>
    </row>
    <row r="440" spans="4:36" s="36" customFormat="1" x14ac:dyDescent="0.25">
      <c r="D440" s="37"/>
      <c r="E440" s="38"/>
      <c r="F440" s="38"/>
      <c r="G440" s="38"/>
      <c r="H440" s="38"/>
      <c r="I440" s="38"/>
      <c r="J440" s="38"/>
      <c r="K440" s="38"/>
      <c r="M440" s="37"/>
      <c r="N440" s="37"/>
      <c r="O440" s="37"/>
      <c r="AD440" s="38"/>
      <c r="AE440" s="38"/>
      <c r="AF440" s="38"/>
      <c r="AG440" s="38"/>
      <c r="AH440" s="38"/>
      <c r="AJ440" s="39"/>
    </row>
    <row r="441" spans="4:36" s="36" customFormat="1" x14ac:dyDescent="0.25">
      <c r="D441" s="37"/>
      <c r="E441" s="38"/>
      <c r="F441" s="38"/>
      <c r="G441" s="38"/>
      <c r="H441" s="38"/>
      <c r="I441" s="38"/>
      <c r="J441" s="38"/>
      <c r="K441" s="38"/>
      <c r="M441" s="37"/>
      <c r="N441" s="37"/>
      <c r="O441" s="37"/>
      <c r="AD441" s="38"/>
      <c r="AE441" s="38"/>
      <c r="AF441" s="38"/>
      <c r="AG441" s="38"/>
      <c r="AH441" s="38"/>
      <c r="AJ441" s="39"/>
    </row>
    <row r="442" spans="4:36" s="36" customFormat="1" x14ac:dyDescent="0.25">
      <c r="D442" s="37"/>
      <c r="E442" s="38"/>
      <c r="F442" s="38"/>
      <c r="G442" s="38"/>
      <c r="H442" s="38"/>
      <c r="I442" s="38"/>
      <c r="J442" s="38"/>
      <c r="K442" s="38"/>
      <c r="M442" s="37"/>
      <c r="N442" s="37"/>
      <c r="O442" s="37"/>
      <c r="AD442" s="38"/>
      <c r="AE442" s="38"/>
      <c r="AF442" s="38"/>
      <c r="AG442" s="38"/>
      <c r="AH442" s="38"/>
      <c r="AJ442" s="39"/>
    </row>
    <row r="443" spans="4:36" s="36" customFormat="1" x14ac:dyDescent="0.25">
      <c r="D443" s="37"/>
      <c r="E443" s="38"/>
      <c r="F443" s="38"/>
      <c r="G443" s="38"/>
      <c r="H443" s="38"/>
      <c r="I443" s="38"/>
      <c r="J443" s="38"/>
      <c r="K443" s="38"/>
      <c r="M443" s="37"/>
      <c r="N443" s="37"/>
      <c r="O443" s="37"/>
      <c r="AD443" s="38"/>
      <c r="AE443" s="38"/>
      <c r="AF443" s="38"/>
      <c r="AG443" s="38"/>
      <c r="AH443" s="38"/>
      <c r="AJ443" s="39"/>
    </row>
    <row r="444" spans="4:36" s="36" customFormat="1" x14ac:dyDescent="0.25">
      <c r="D444" s="37"/>
      <c r="E444" s="38"/>
      <c r="F444" s="38"/>
      <c r="G444" s="38"/>
      <c r="H444" s="38"/>
      <c r="I444" s="38"/>
      <c r="J444" s="38"/>
      <c r="K444" s="38"/>
      <c r="M444" s="37"/>
      <c r="N444" s="37"/>
      <c r="O444" s="37"/>
      <c r="AD444" s="38"/>
      <c r="AE444" s="38"/>
      <c r="AF444" s="38"/>
      <c r="AG444" s="38"/>
      <c r="AH444" s="38"/>
      <c r="AJ444" s="39"/>
    </row>
    <row r="445" spans="4:36" s="36" customFormat="1" x14ac:dyDescent="0.25">
      <c r="D445" s="37"/>
      <c r="E445" s="38"/>
      <c r="F445" s="38"/>
      <c r="G445" s="38"/>
      <c r="H445" s="38"/>
      <c r="I445" s="38"/>
      <c r="J445" s="38"/>
      <c r="K445" s="38"/>
      <c r="M445" s="37"/>
      <c r="N445" s="37"/>
      <c r="O445" s="37"/>
      <c r="AD445" s="38"/>
      <c r="AE445" s="38"/>
      <c r="AF445" s="38"/>
      <c r="AG445" s="38"/>
      <c r="AH445" s="38"/>
      <c r="AJ445" s="39"/>
    </row>
    <row r="446" spans="4:36" s="36" customFormat="1" x14ac:dyDescent="0.25">
      <c r="D446" s="37"/>
      <c r="E446" s="38"/>
      <c r="F446" s="38"/>
      <c r="G446" s="38"/>
      <c r="H446" s="38"/>
      <c r="I446" s="38"/>
      <c r="J446" s="38"/>
      <c r="K446" s="38"/>
      <c r="M446" s="37"/>
      <c r="N446" s="37"/>
      <c r="O446" s="37"/>
      <c r="AD446" s="38"/>
      <c r="AE446" s="38"/>
      <c r="AF446" s="38"/>
      <c r="AG446" s="38"/>
      <c r="AH446" s="38"/>
      <c r="AJ446" s="39"/>
    </row>
    <row r="447" spans="4:36" s="36" customFormat="1" x14ac:dyDescent="0.25">
      <c r="D447" s="37"/>
      <c r="E447" s="38"/>
      <c r="F447" s="38"/>
      <c r="G447" s="38"/>
      <c r="H447" s="38"/>
      <c r="I447" s="38"/>
      <c r="J447" s="38"/>
      <c r="K447" s="38"/>
      <c r="M447" s="37"/>
      <c r="N447" s="37"/>
      <c r="O447" s="37"/>
      <c r="AD447" s="38"/>
      <c r="AE447" s="38"/>
      <c r="AF447" s="38"/>
      <c r="AG447" s="38"/>
      <c r="AH447" s="38"/>
      <c r="AJ447" s="39"/>
    </row>
    <row r="448" spans="4:36" s="36" customFormat="1" x14ac:dyDescent="0.25">
      <c r="D448" s="37"/>
      <c r="E448" s="38"/>
      <c r="F448" s="38"/>
      <c r="G448" s="38"/>
      <c r="H448" s="38"/>
      <c r="I448" s="38"/>
      <c r="J448" s="38"/>
      <c r="K448" s="38"/>
      <c r="M448" s="37"/>
      <c r="N448" s="37"/>
      <c r="O448" s="37"/>
      <c r="AD448" s="38"/>
      <c r="AE448" s="38"/>
      <c r="AF448" s="38"/>
      <c r="AG448" s="38"/>
      <c r="AH448" s="38"/>
      <c r="AJ448" s="39"/>
    </row>
    <row r="449" spans="4:36" s="36" customFormat="1" x14ac:dyDescent="0.25">
      <c r="D449" s="37"/>
      <c r="E449" s="38"/>
      <c r="F449" s="38"/>
      <c r="G449" s="38"/>
      <c r="H449" s="38"/>
      <c r="I449" s="38"/>
      <c r="J449" s="38"/>
      <c r="K449" s="38"/>
      <c r="M449" s="37"/>
      <c r="N449" s="37"/>
      <c r="O449" s="37"/>
      <c r="AD449" s="38"/>
      <c r="AE449" s="38"/>
      <c r="AF449" s="38"/>
      <c r="AG449" s="38"/>
      <c r="AH449" s="38"/>
      <c r="AJ449" s="39"/>
    </row>
    <row r="450" spans="4:36" s="36" customFormat="1" x14ac:dyDescent="0.25">
      <c r="D450" s="37"/>
      <c r="E450" s="38"/>
      <c r="F450" s="38"/>
      <c r="G450" s="38"/>
      <c r="H450" s="38"/>
      <c r="I450" s="38"/>
      <c r="J450" s="38"/>
      <c r="K450" s="38"/>
      <c r="M450" s="37"/>
      <c r="N450" s="37"/>
      <c r="O450" s="37"/>
      <c r="AD450" s="38"/>
      <c r="AE450" s="38"/>
      <c r="AF450" s="38"/>
      <c r="AG450" s="38"/>
      <c r="AH450" s="38"/>
      <c r="AJ450" s="39"/>
    </row>
    <row r="451" spans="4:36" s="36" customFormat="1" x14ac:dyDescent="0.25">
      <c r="D451" s="37"/>
      <c r="E451" s="38"/>
      <c r="F451" s="38"/>
      <c r="G451" s="38"/>
      <c r="H451" s="38"/>
      <c r="I451" s="38"/>
      <c r="J451" s="38"/>
      <c r="K451" s="38"/>
      <c r="M451" s="37"/>
      <c r="N451" s="37"/>
      <c r="O451" s="37"/>
      <c r="AD451" s="38"/>
      <c r="AE451" s="38"/>
      <c r="AF451" s="38"/>
      <c r="AG451" s="38"/>
      <c r="AH451" s="38"/>
      <c r="AJ451" s="39"/>
    </row>
    <row r="452" spans="4:36" s="36" customFormat="1" x14ac:dyDescent="0.25">
      <c r="D452" s="37"/>
      <c r="E452" s="38"/>
      <c r="F452" s="38"/>
      <c r="G452" s="38"/>
      <c r="H452" s="38"/>
      <c r="I452" s="38"/>
      <c r="J452" s="38"/>
      <c r="K452" s="38"/>
      <c r="M452" s="37"/>
      <c r="N452" s="37"/>
      <c r="O452" s="37"/>
      <c r="AD452" s="38"/>
      <c r="AE452" s="38"/>
      <c r="AF452" s="38"/>
      <c r="AG452" s="38"/>
      <c r="AH452" s="38"/>
      <c r="AJ452" s="39"/>
    </row>
    <row r="453" spans="4:36" s="36" customFormat="1" x14ac:dyDescent="0.25">
      <c r="D453" s="37"/>
      <c r="E453" s="38"/>
      <c r="F453" s="38"/>
      <c r="G453" s="38"/>
      <c r="H453" s="38"/>
      <c r="I453" s="38"/>
      <c r="J453" s="38"/>
      <c r="K453" s="38"/>
      <c r="M453" s="37"/>
      <c r="N453" s="37"/>
      <c r="O453" s="37"/>
      <c r="AD453" s="38"/>
      <c r="AE453" s="38"/>
      <c r="AF453" s="38"/>
      <c r="AG453" s="38"/>
      <c r="AH453" s="38"/>
      <c r="AJ453" s="39"/>
    </row>
    <row r="454" spans="4:36" s="36" customFormat="1" x14ac:dyDescent="0.25">
      <c r="D454" s="37"/>
      <c r="E454" s="38"/>
      <c r="F454" s="38"/>
      <c r="G454" s="38"/>
      <c r="H454" s="38"/>
      <c r="I454" s="38"/>
      <c r="J454" s="38"/>
      <c r="K454" s="38"/>
      <c r="M454" s="37"/>
      <c r="N454" s="37"/>
      <c r="O454" s="37"/>
      <c r="AD454" s="38"/>
      <c r="AE454" s="38"/>
      <c r="AF454" s="38"/>
      <c r="AG454" s="38"/>
      <c r="AH454" s="38"/>
      <c r="AJ454" s="39"/>
    </row>
    <row r="455" spans="4:36" s="36" customFormat="1" x14ac:dyDescent="0.25">
      <c r="D455" s="37"/>
      <c r="E455" s="38"/>
      <c r="F455" s="38"/>
      <c r="G455" s="38"/>
      <c r="H455" s="38"/>
      <c r="I455" s="38"/>
      <c r="J455" s="38"/>
      <c r="K455" s="38"/>
      <c r="M455" s="37"/>
      <c r="N455" s="37"/>
      <c r="O455" s="37"/>
      <c r="AD455" s="38"/>
      <c r="AE455" s="38"/>
      <c r="AF455" s="38"/>
      <c r="AG455" s="38"/>
      <c r="AH455" s="38"/>
      <c r="AJ455" s="39"/>
    </row>
    <row r="456" spans="4:36" s="36" customFormat="1" x14ac:dyDescent="0.25">
      <c r="D456" s="37"/>
      <c r="E456" s="38"/>
      <c r="F456" s="38"/>
      <c r="G456" s="38"/>
      <c r="H456" s="38"/>
      <c r="I456" s="38"/>
      <c r="J456" s="38"/>
      <c r="K456" s="38"/>
      <c r="M456" s="37"/>
      <c r="N456" s="37"/>
      <c r="O456" s="37"/>
      <c r="AD456" s="38"/>
      <c r="AE456" s="38"/>
      <c r="AF456" s="38"/>
      <c r="AG456" s="38"/>
      <c r="AH456" s="38"/>
      <c r="AJ456" s="39"/>
    </row>
    <row r="457" spans="4:36" s="36" customFormat="1" x14ac:dyDescent="0.25">
      <c r="D457" s="37"/>
      <c r="E457" s="38"/>
      <c r="F457" s="38"/>
      <c r="G457" s="38"/>
      <c r="H457" s="38"/>
      <c r="I457" s="38"/>
      <c r="J457" s="38"/>
      <c r="K457" s="38"/>
      <c r="M457" s="37"/>
      <c r="N457" s="37"/>
      <c r="O457" s="37"/>
      <c r="AD457" s="38"/>
      <c r="AE457" s="38"/>
      <c r="AF457" s="38"/>
      <c r="AG457" s="38"/>
      <c r="AH457" s="38"/>
      <c r="AJ457" s="39"/>
    </row>
    <row r="458" spans="4:36" s="36" customFormat="1" x14ac:dyDescent="0.25">
      <c r="D458" s="37"/>
      <c r="E458" s="38"/>
      <c r="F458" s="38"/>
      <c r="G458" s="38"/>
      <c r="H458" s="38"/>
      <c r="I458" s="38"/>
      <c r="J458" s="38"/>
      <c r="K458" s="38"/>
      <c r="M458" s="37"/>
      <c r="N458" s="37"/>
      <c r="O458" s="37"/>
      <c r="AD458" s="38"/>
      <c r="AE458" s="38"/>
      <c r="AF458" s="38"/>
      <c r="AG458" s="38"/>
      <c r="AH458" s="38"/>
      <c r="AJ458" s="39"/>
    </row>
    <row r="459" spans="4:36" s="36" customFormat="1" x14ac:dyDescent="0.25">
      <c r="D459" s="37"/>
      <c r="E459" s="38"/>
      <c r="F459" s="38"/>
      <c r="G459" s="38"/>
      <c r="H459" s="38"/>
      <c r="I459" s="38"/>
      <c r="J459" s="38"/>
      <c r="K459" s="38"/>
      <c r="M459" s="37"/>
      <c r="N459" s="37"/>
      <c r="O459" s="37"/>
      <c r="AD459" s="38"/>
      <c r="AE459" s="38"/>
      <c r="AF459" s="38"/>
      <c r="AG459" s="38"/>
      <c r="AH459" s="38"/>
      <c r="AJ459" s="39"/>
    </row>
    <row r="460" spans="4:36" s="36" customFormat="1" x14ac:dyDescent="0.25">
      <c r="D460" s="37"/>
      <c r="E460" s="38"/>
      <c r="F460" s="38"/>
      <c r="G460" s="38"/>
      <c r="H460" s="38"/>
      <c r="I460" s="38"/>
      <c r="J460" s="38"/>
      <c r="K460" s="38"/>
      <c r="M460" s="37"/>
      <c r="N460" s="37"/>
      <c r="O460" s="37"/>
      <c r="AD460" s="38"/>
      <c r="AE460" s="38"/>
      <c r="AF460" s="38"/>
      <c r="AG460" s="38"/>
      <c r="AH460" s="38"/>
      <c r="AJ460" s="39"/>
    </row>
    <row r="461" spans="4:36" s="36" customFormat="1" x14ac:dyDescent="0.25">
      <c r="D461" s="37"/>
      <c r="E461" s="38"/>
      <c r="F461" s="38"/>
      <c r="G461" s="38"/>
      <c r="H461" s="38"/>
      <c r="I461" s="38"/>
      <c r="J461" s="38"/>
      <c r="K461" s="38"/>
      <c r="M461" s="37"/>
      <c r="N461" s="37"/>
      <c r="O461" s="37"/>
      <c r="AD461" s="38"/>
      <c r="AE461" s="38"/>
      <c r="AF461" s="38"/>
      <c r="AG461" s="38"/>
      <c r="AH461" s="38"/>
      <c r="AJ461" s="39"/>
    </row>
    <row r="462" spans="4:36" s="36" customFormat="1" x14ac:dyDescent="0.25">
      <c r="D462" s="37"/>
      <c r="E462" s="38"/>
      <c r="F462" s="38"/>
      <c r="G462" s="38"/>
      <c r="H462" s="38"/>
      <c r="I462" s="38"/>
      <c r="J462" s="38"/>
      <c r="K462" s="38"/>
      <c r="M462" s="37"/>
      <c r="N462" s="37"/>
      <c r="O462" s="37"/>
      <c r="AD462" s="38"/>
      <c r="AE462" s="38"/>
      <c r="AF462" s="38"/>
      <c r="AG462" s="38"/>
      <c r="AH462" s="38"/>
      <c r="AJ462" s="39"/>
    </row>
    <row r="463" spans="4:36" s="36" customFormat="1" x14ac:dyDescent="0.25">
      <c r="D463" s="37"/>
      <c r="E463" s="38"/>
      <c r="F463" s="38"/>
      <c r="G463" s="38"/>
      <c r="H463" s="38"/>
      <c r="I463" s="38"/>
      <c r="J463" s="38"/>
      <c r="K463" s="38"/>
      <c r="M463" s="37"/>
      <c r="N463" s="37"/>
      <c r="O463" s="37"/>
      <c r="AD463" s="38"/>
      <c r="AE463" s="38"/>
      <c r="AF463" s="38"/>
      <c r="AG463" s="38"/>
      <c r="AH463" s="38"/>
      <c r="AJ463" s="39"/>
    </row>
    <row r="464" spans="4:36" s="36" customFormat="1" x14ac:dyDescent="0.25">
      <c r="D464" s="37"/>
      <c r="E464" s="38"/>
      <c r="F464" s="38"/>
      <c r="G464" s="38"/>
      <c r="H464" s="38"/>
      <c r="I464" s="38"/>
      <c r="J464" s="38"/>
      <c r="K464" s="38"/>
      <c r="M464" s="37"/>
      <c r="N464" s="37"/>
      <c r="O464" s="37"/>
      <c r="AD464" s="38"/>
      <c r="AE464" s="38"/>
      <c r="AF464" s="38"/>
      <c r="AG464" s="38"/>
      <c r="AH464" s="38"/>
      <c r="AJ464" s="39"/>
    </row>
    <row r="465" spans="4:36" s="36" customFormat="1" x14ac:dyDescent="0.25">
      <c r="D465" s="37"/>
      <c r="E465" s="38"/>
      <c r="F465" s="38"/>
      <c r="G465" s="38"/>
      <c r="H465" s="38"/>
      <c r="I465" s="38"/>
      <c r="J465" s="38"/>
      <c r="K465" s="38"/>
      <c r="M465" s="37"/>
      <c r="N465" s="37"/>
      <c r="O465" s="37"/>
      <c r="AD465" s="38"/>
      <c r="AE465" s="38"/>
      <c r="AF465" s="38"/>
      <c r="AG465" s="38"/>
      <c r="AH465" s="38"/>
      <c r="AJ465" s="39"/>
    </row>
    <row r="466" spans="4:36" s="36" customFormat="1" x14ac:dyDescent="0.25">
      <c r="D466" s="37"/>
      <c r="E466" s="38"/>
      <c r="F466" s="38"/>
      <c r="G466" s="38"/>
      <c r="H466" s="38"/>
      <c r="I466" s="38"/>
      <c r="J466" s="38"/>
      <c r="K466" s="38"/>
      <c r="M466" s="37"/>
      <c r="N466" s="37"/>
      <c r="O466" s="37"/>
      <c r="AD466" s="38"/>
      <c r="AE466" s="38"/>
      <c r="AF466" s="38"/>
      <c r="AG466" s="38"/>
      <c r="AH466" s="38"/>
      <c r="AJ466" s="39"/>
    </row>
    <row r="467" spans="4:36" s="36" customFormat="1" x14ac:dyDescent="0.25">
      <c r="D467" s="37"/>
      <c r="E467" s="38"/>
      <c r="F467" s="38"/>
      <c r="G467" s="38"/>
      <c r="H467" s="38"/>
      <c r="I467" s="38"/>
      <c r="J467" s="38"/>
      <c r="K467" s="38"/>
      <c r="M467" s="37"/>
      <c r="N467" s="37"/>
      <c r="O467" s="37"/>
      <c r="AD467" s="38"/>
      <c r="AE467" s="38"/>
      <c r="AF467" s="38"/>
      <c r="AG467" s="38"/>
      <c r="AH467" s="38"/>
      <c r="AJ467" s="39"/>
    </row>
    <row r="468" spans="4:36" s="36" customFormat="1" x14ac:dyDescent="0.25">
      <c r="D468" s="37"/>
      <c r="E468" s="38"/>
      <c r="F468" s="38"/>
      <c r="G468" s="38"/>
      <c r="H468" s="38"/>
      <c r="I468" s="38"/>
      <c r="J468" s="38"/>
      <c r="K468" s="38"/>
      <c r="M468" s="37"/>
      <c r="N468" s="37"/>
      <c r="O468" s="37"/>
      <c r="AD468" s="38"/>
      <c r="AE468" s="38"/>
      <c r="AF468" s="38"/>
      <c r="AG468" s="38"/>
      <c r="AH468" s="38"/>
      <c r="AJ468" s="39"/>
    </row>
    <row r="469" spans="4:36" s="36" customFormat="1" x14ac:dyDescent="0.25">
      <c r="D469" s="37"/>
      <c r="E469" s="38"/>
      <c r="F469" s="38"/>
      <c r="G469" s="38"/>
      <c r="H469" s="38"/>
      <c r="I469" s="38"/>
      <c r="J469" s="38"/>
      <c r="K469" s="38"/>
      <c r="M469" s="37"/>
      <c r="N469" s="37"/>
      <c r="O469" s="37"/>
      <c r="AD469" s="38"/>
      <c r="AE469" s="38"/>
      <c r="AF469" s="38"/>
      <c r="AG469" s="38"/>
      <c r="AH469" s="38"/>
      <c r="AJ469" s="39"/>
    </row>
    <row r="470" spans="4:36" s="36" customFormat="1" x14ac:dyDescent="0.25">
      <c r="D470" s="37"/>
      <c r="E470" s="38"/>
      <c r="F470" s="38"/>
      <c r="G470" s="38"/>
      <c r="H470" s="38"/>
      <c r="I470" s="38"/>
      <c r="J470" s="38"/>
      <c r="K470" s="38"/>
      <c r="M470" s="37"/>
      <c r="N470" s="37"/>
      <c r="O470" s="37"/>
      <c r="AD470" s="38"/>
      <c r="AE470" s="38"/>
      <c r="AF470" s="38"/>
      <c r="AG470" s="38"/>
      <c r="AH470" s="38"/>
      <c r="AJ470" s="39"/>
    </row>
    <row r="471" spans="4:36" s="36" customFormat="1" x14ac:dyDescent="0.25">
      <c r="D471" s="37"/>
      <c r="E471" s="38"/>
      <c r="F471" s="38"/>
      <c r="G471" s="38"/>
      <c r="H471" s="38"/>
      <c r="I471" s="38"/>
      <c r="J471" s="38"/>
      <c r="K471" s="38"/>
      <c r="M471" s="37"/>
      <c r="N471" s="37"/>
      <c r="O471" s="37"/>
      <c r="AD471" s="38"/>
      <c r="AE471" s="38"/>
      <c r="AF471" s="38"/>
      <c r="AG471" s="38"/>
      <c r="AH471" s="38"/>
      <c r="AJ471" s="39"/>
    </row>
    <row r="472" spans="4:36" s="36" customFormat="1" x14ac:dyDescent="0.25">
      <c r="D472" s="37"/>
      <c r="E472" s="38"/>
      <c r="F472" s="38"/>
      <c r="G472" s="38"/>
      <c r="H472" s="38"/>
      <c r="I472" s="38"/>
      <c r="J472" s="38"/>
      <c r="K472" s="38"/>
      <c r="M472" s="37"/>
      <c r="N472" s="37"/>
      <c r="O472" s="37"/>
      <c r="AD472" s="38"/>
      <c r="AE472" s="38"/>
      <c r="AF472" s="38"/>
      <c r="AG472" s="38"/>
      <c r="AH472" s="38"/>
      <c r="AJ472" s="39"/>
    </row>
    <row r="473" spans="4:36" s="36" customFormat="1" x14ac:dyDescent="0.25">
      <c r="D473" s="37"/>
      <c r="E473" s="38"/>
      <c r="F473" s="38"/>
      <c r="G473" s="38"/>
      <c r="H473" s="38"/>
      <c r="I473" s="38"/>
      <c r="J473" s="38"/>
      <c r="K473" s="38"/>
      <c r="M473" s="37"/>
      <c r="N473" s="37"/>
      <c r="O473" s="37"/>
      <c r="AD473" s="38"/>
      <c r="AE473" s="38"/>
      <c r="AF473" s="38"/>
      <c r="AG473" s="38"/>
      <c r="AH473" s="38"/>
      <c r="AJ473" s="39"/>
    </row>
    <row r="474" spans="4:36" s="36" customFormat="1" x14ac:dyDescent="0.25">
      <c r="D474" s="37"/>
      <c r="E474" s="38"/>
      <c r="F474" s="38"/>
      <c r="G474" s="38"/>
      <c r="H474" s="38"/>
      <c r="I474" s="38"/>
      <c r="J474" s="38"/>
      <c r="K474" s="38"/>
      <c r="M474" s="37"/>
      <c r="N474" s="37"/>
      <c r="O474" s="37"/>
      <c r="AD474" s="38"/>
      <c r="AE474" s="38"/>
      <c r="AF474" s="38"/>
      <c r="AG474" s="38"/>
      <c r="AH474" s="38"/>
      <c r="AJ474" s="39"/>
    </row>
    <row r="475" spans="4:36" s="36" customFormat="1" x14ac:dyDescent="0.25">
      <c r="D475" s="37"/>
      <c r="E475" s="38"/>
      <c r="F475" s="38"/>
      <c r="G475" s="38"/>
      <c r="H475" s="38"/>
      <c r="I475" s="38"/>
      <c r="J475" s="38"/>
      <c r="K475" s="38"/>
      <c r="M475" s="37"/>
      <c r="N475" s="37"/>
      <c r="O475" s="37"/>
      <c r="AD475" s="38"/>
      <c r="AE475" s="38"/>
      <c r="AF475" s="38"/>
      <c r="AG475" s="38"/>
      <c r="AH475" s="38"/>
      <c r="AJ475" s="39"/>
    </row>
    <row r="476" spans="4:36" s="36" customFormat="1" x14ac:dyDescent="0.25">
      <c r="D476" s="37"/>
      <c r="E476" s="38"/>
      <c r="F476" s="38"/>
      <c r="G476" s="38"/>
      <c r="H476" s="38"/>
      <c r="I476" s="38"/>
      <c r="J476" s="38"/>
      <c r="K476" s="38"/>
      <c r="M476" s="37"/>
      <c r="N476" s="37"/>
      <c r="O476" s="37"/>
      <c r="AD476" s="38"/>
      <c r="AE476" s="38"/>
      <c r="AF476" s="38"/>
      <c r="AG476" s="38"/>
      <c r="AH476" s="38"/>
      <c r="AJ476" s="39"/>
    </row>
    <row r="477" spans="4:36" s="36" customFormat="1" x14ac:dyDescent="0.25">
      <c r="D477" s="37"/>
      <c r="E477" s="38"/>
      <c r="F477" s="38"/>
      <c r="G477" s="38"/>
      <c r="H477" s="38"/>
      <c r="I477" s="38"/>
      <c r="J477" s="38"/>
      <c r="K477" s="38"/>
      <c r="M477" s="37"/>
      <c r="N477" s="37"/>
      <c r="O477" s="37"/>
      <c r="AD477" s="38"/>
      <c r="AE477" s="38"/>
      <c r="AF477" s="38"/>
      <c r="AG477" s="38"/>
      <c r="AH477" s="38"/>
      <c r="AJ477" s="39"/>
    </row>
    <row r="478" spans="4:36" s="36" customFormat="1" x14ac:dyDescent="0.25">
      <c r="D478" s="37"/>
      <c r="E478" s="38"/>
      <c r="F478" s="38"/>
      <c r="G478" s="38"/>
      <c r="H478" s="38"/>
      <c r="I478" s="38"/>
      <c r="J478" s="38"/>
      <c r="K478" s="38"/>
      <c r="M478" s="37"/>
      <c r="N478" s="37"/>
      <c r="O478" s="37"/>
      <c r="AD478" s="38"/>
      <c r="AE478" s="38"/>
      <c r="AF478" s="38"/>
      <c r="AG478" s="38"/>
      <c r="AH478" s="38"/>
      <c r="AJ478" s="39"/>
    </row>
    <row r="479" spans="4:36" s="36" customFormat="1" x14ac:dyDescent="0.25">
      <c r="D479" s="37"/>
      <c r="E479" s="38"/>
      <c r="F479" s="38"/>
      <c r="G479" s="38"/>
      <c r="H479" s="38"/>
      <c r="I479" s="38"/>
      <c r="J479" s="38"/>
      <c r="K479" s="38"/>
      <c r="M479" s="37"/>
      <c r="N479" s="37"/>
      <c r="O479" s="37"/>
      <c r="AD479" s="38"/>
      <c r="AE479" s="38"/>
      <c r="AF479" s="38"/>
      <c r="AG479" s="38"/>
      <c r="AH479" s="38"/>
      <c r="AJ479" s="39"/>
    </row>
    <row r="480" spans="4:36" s="36" customFormat="1" x14ac:dyDescent="0.25">
      <c r="D480" s="37"/>
      <c r="E480" s="38"/>
      <c r="F480" s="38"/>
      <c r="G480" s="38"/>
      <c r="H480" s="38"/>
      <c r="I480" s="38"/>
      <c r="J480" s="38"/>
      <c r="K480" s="38"/>
      <c r="M480" s="37"/>
      <c r="N480" s="37"/>
      <c r="O480" s="37"/>
      <c r="AD480" s="38"/>
      <c r="AE480" s="38"/>
      <c r="AF480" s="38"/>
      <c r="AG480" s="38"/>
      <c r="AH480" s="38"/>
      <c r="AJ480" s="39"/>
    </row>
    <row r="481" spans="4:36" s="36" customFormat="1" x14ac:dyDescent="0.25">
      <c r="D481" s="37"/>
      <c r="E481" s="38"/>
      <c r="F481" s="38"/>
      <c r="G481" s="38"/>
      <c r="H481" s="38"/>
      <c r="I481" s="38"/>
      <c r="J481" s="38"/>
      <c r="K481" s="38"/>
      <c r="M481" s="37"/>
      <c r="N481" s="37"/>
      <c r="O481" s="37"/>
      <c r="AD481" s="38"/>
      <c r="AE481" s="38"/>
      <c r="AF481" s="38"/>
      <c r="AG481" s="38"/>
      <c r="AH481" s="38"/>
      <c r="AJ481" s="39"/>
    </row>
    <row r="482" spans="4:36" s="36" customFormat="1" x14ac:dyDescent="0.25">
      <c r="D482" s="37"/>
      <c r="E482" s="38"/>
      <c r="F482" s="38"/>
      <c r="G482" s="38"/>
      <c r="H482" s="38"/>
      <c r="I482" s="38"/>
      <c r="J482" s="38"/>
      <c r="K482" s="38"/>
      <c r="M482" s="37"/>
      <c r="N482" s="37"/>
      <c r="O482" s="37"/>
      <c r="AD482" s="38"/>
      <c r="AE482" s="38"/>
      <c r="AF482" s="38"/>
      <c r="AG482" s="38"/>
      <c r="AH482" s="38"/>
      <c r="AJ482" s="39"/>
    </row>
    <row r="483" spans="4:36" s="36" customFormat="1" x14ac:dyDescent="0.25">
      <c r="D483" s="37"/>
      <c r="E483" s="38"/>
      <c r="F483" s="38"/>
      <c r="G483" s="38"/>
      <c r="H483" s="38"/>
      <c r="I483" s="38"/>
      <c r="J483" s="38"/>
      <c r="K483" s="38"/>
      <c r="M483" s="37"/>
      <c r="N483" s="37"/>
      <c r="O483" s="37"/>
      <c r="AD483" s="38"/>
      <c r="AE483" s="38"/>
      <c r="AF483" s="38"/>
      <c r="AG483" s="38"/>
      <c r="AH483" s="38"/>
      <c r="AJ483" s="39"/>
    </row>
    <row r="484" spans="4:36" s="36" customFormat="1" x14ac:dyDescent="0.25">
      <c r="D484" s="37"/>
      <c r="E484" s="38"/>
      <c r="F484" s="38"/>
      <c r="G484" s="38"/>
      <c r="H484" s="38"/>
      <c r="I484" s="38"/>
      <c r="J484" s="38"/>
      <c r="K484" s="38"/>
      <c r="M484" s="37"/>
      <c r="N484" s="37"/>
      <c r="O484" s="37"/>
      <c r="AD484" s="38"/>
      <c r="AE484" s="38"/>
      <c r="AF484" s="38"/>
      <c r="AG484" s="38"/>
      <c r="AH484" s="38"/>
      <c r="AJ484" s="39"/>
    </row>
    <row r="485" spans="4:36" s="36" customFormat="1" x14ac:dyDescent="0.25">
      <c r="D485" s="37"/>
      <c r="E485" s="38"/>
      <c r="F485" s="38"/>
      <c r="G485" s="38"/>
      <c r="H485" s="38"/>
      <c r="I485" s="38"/>
      <c r="J485" s="38"/>
      <c r="K485" s="38"/>
      <c r="M485" s="37"/>
      <c r="N485" s="37"/>
      <c r="O485" s="37"/>
      <c r="AD485" s="38"/>
      <c r="AE485" s="38"/>
      <c r="AF485" s="38"/>
      <c r="AG485" s="38"/>
      <c r="AH485" s="38"/>
      <c r="AJ485" s="39"/>
    </row>
    <row r="486" spans="4:36" s="36" customFormat="1" x14ac:dyDescent="0.25">
      <c r="D486" s="37"/>
      <c r="E486" s="38"/>
      <c r="F486" s="38"/>
      <c r="G486" s="38"/>
      <c r="H486" s="38"/>
      <c r="I486" s="38"/>
      <c r="J486" s="38"/>
      <c r="K486" s="38"/>
      <c r="M486" s="37"/>
      <c r="N486" s="37"/>
      <c r="O486" s="37"/>
      <c r="AD486" s="38"/>
      <c r="AE486" s="38"/>
      <c r="AF486" s="38"/>
      <c r="AG486" s="38"/>
      <c r="AH486" s="38"/>
      <c r="AJ486" s="39"/>
    </row>
    <row r="487" spans="4:36" s="36" customFormat="1" x14ac:dyDescent="0.25">
      <c r="D487" s="37"/>
      <c r="E487" s="38"/>
      <c r="F487" s="38"/>
      <c r="G487" s="38"/>
      <c r="H487" s="38"/>
      <c r="I487" s="38"/>
      <c r="J487" s="38"/>
      <c r="K487" s="38"/>
      <c r="M487" s="37"/>
      <c r="N487" s="37"/>
      <c r="O487" s="37"/>
      <c r="AD487" s="38"/>
      <c r="AE487" s="38"/>
      <c r="AF487" s="38"/>
      <c r="AG487" s="38"/>
      <c r="AH487" s="38"/>
      <c r="AJ487" s="39"/>
    </row>
    <row r="488" spans="4:36" s="36" customFormat="1" x14ac:dyDescent="0.25">
      <c r="D488" s="37"/>
      <c r="E488" s="38"/>
      <c r="F488" s="38"/>
      <c r="G488" s="38"/>
      <c r="H488" s="38"/>
      <c r="I488" s="38"/>
      <c r="J488" s="38"/>
      <c r="K488" s="38"/>
      <c r="M488" s="37"/>
      <c r="N488" s="37"/>
      <c r="O488" s="37"/>
      <c r="AD488" s="38"/>
      <c r="AE488" s="38"/>
      <c r="AF488" s="38"/>
      <c r="AG488" s="38"/>
      <c r="AH488" s="38"/>
      <c r="AJ488" s="39"/>
    </row>
    <row r="489" spans="4:36" s="36" customFormat="1" x14ac:dyDescent="0.25">
      <c r="D489" s="37"/>
      <c r="E489" s="38"/>
      <c r="F489" s="38"/>
      <c r="G489" s="38"/>
      <c r="H489" s="38"/>
      <c r="I489" s="38"/>
      <c r="J489" s="38"/>
      <c r="K489" s="38"/>
      <c r="M489" s="37"/>
      <c r="N489" s="37"/>
      <c r="O489" s="37"/>
      <c r="AD489" s="38"/>
      <c r="AE489" s="38"/>
      <c r="AF489" s="38"/>
      <c r="AG489" s="38"/>
      <c r="AH489" s="38"/>
      <c r="AJ489" s="39"/>
    </row>
    <row r="490" spans="4:36" s="36" customFormat="1" x14ac:dyDescent="0.25">
      <c r="D490" s="37"/>
      <c r="E490" s="38"/>
      <c r="F490" s="38"/>
      <c r="G490" s="38"/>
      <c r="H490" s="38"/>
      <c r="I490" s="38"/>
      <c r="J490" s="38"/>
      <c r="K490" s="38"/>
      <c r="M490" s="37"/>
      <c r="N490" s="37"/>
      <c r="O490" s="37"/>
      <c r="AD490" s="38"/>
      <c r="AE490" s="38"/>
      <c r="AF490" s="38"/>
      <c r="AG490" s="38"/>
      <c r="AH490" s="38"/>
      <c r="AJ490" s="39"/>
    </row>
    <row r="491" spans="4:36" s="36" customFormat="1" x14ac:dyDescent="0.25">
      <c r="D491" s="37"/>
      <c r="E491" s="38"/>
      <c r="F491" s="38"/>
      <c r="G491" s="38"/>
      <c r="H491" s="38"/>
      <c r="I491" s="38"/>
      <c r="J491" s="38"/>
      <c r="K491" s="38"/>
      <c r="M491" s="37"/>
      <c r="N491" s="37"/>
      <c r="O491" s="37"/>
      <c r="AD491" s="38"/>
      <c r="AE491" s="38"/>
      <c r="AF491" s="38"/>
      <c r="AG491" s="38"/>
      <c r="AH491" s="38"/>
      <c r="AJ491" s="39"/>
    </row>
    <row r="492" spans="4:36" s="36" customFormat="1" x14ac:dyDescent="0.25">
      <c r="D492" s="37"/>
      <c r="E492" s="38"/>
      <c r="F492" s="38"/>
      <c r="G492" s="38"/>
      <c r="H492" s="38"/>
      <c r="I492" s="38"/>
      <c r="J492" s="38"/>
      <c r="K492" s="38"/>
      <c r="M492" s="37"/>
      <c r="N492" s="37"/>
      <c r="O492" s="37"/>
      <c r="AD492" s="38"/>
      <c r="AE492" s="38"/>
      <c r="AF492" s="38"/>
      <c r="AG492" s="38"/>
      <c r="AH492" s="38"/>
      <c r="AJ492" s="39"/>
    </row>
    <row r="493" spans="4:36" s="36" customFormat="1" x14ac:dyDescent="0.25">
      <c r="D493" s="37"/>
      <c r="E493" s="38"/>
      <c r="F493" s="38"/>
      <c r="G493" s="38"/>
      <c r="H493" s="38"/>
      <c r="I493" s="38"/>
      <c r="J493" s="38"/>
      <c r="K493" s="38"/>
      <c r="M493" s="37"/>
      <c r="N493" s="37"/>
      <c r="O493" s="37"/>
      <c r="AD493" s="38"/>
      <c r="AE493" s="38"/>
      <c r="AF493" s="38"/>
      <c r="AG493" s="38"/>
      <c r="AH493" s="38"/>
      <c r="AJ493" s="39"/>
    </row>
    <row r="494" spans="4:36" s="36" customFormat="1" x14ac:dyDescent="0.25">
      <c r="D494" s="37"/>
      <c r="E494" s="38"/>
      <c r="F494" s="38"/>
      <c r="G494" s="38"/>
      <c r="H494" s="38"/>
      <c r="I494" s="38"/>
      <c r="J494" s="38"/>
      <c r="K494" s="38"/>
      <c r="M494" s="37"/>
      <c r="N494" s="37"/>
      <c r="O494" s="37"/>
      <c r="AD494" s="38"/>
      <c r="AE494" s="38"/>
      <c r="AF494" s="38"/>
      <c r="AG494" s="38"/>
      <c r="AH494" s="38"/>
      <c r="AJ494" s="39"/>
    </row>
    <row r="495" spans="4:36" s="36" customFormat="1" x14ac:dyDescent="0.25">
      <c r="D495" s="37"/>
      <c r="E495" s="38"/>
      <c r="F495" s="38"/>
      <c r="G495" s="38"/>
      <c r="H495" s="38"/>
      <c r="I495" s="38"/>
      <c r="J495" s="38"/>
      <c r="K495" s="38"/>
      <c r="M495" s="37"/>
      <c r="N495" s="37"/>
      <c r="O495" s="37"/>
      <c r="AD495" s="38"/>
      <c r="AE495" s="38"/>
      <c r="AF495" s="38"/>
      <c r="AG495" s="38"/>
      <c r="AH495" s="38"/>
      <c r="AJ495" s="39"/>
    </row>
    <row r="496" spans="4:36" s="36" customFormat="1" x14ac:dyDescent="0.25">
      <c r="D496" s="37"/>
      <c r="E496" s="38"/>
      <c r="F496" s="38"/>
      <c r="G496" s="38"/>
      <c r="H496" s="38"/>
      <c r="I496" s="38"/>
      <c r="J496" s="38"/>
      <c r="K496" s="38"/>
      <c r="M496" s="37"/>
      <c r="N496" s="37"/>
      <c r="O496" s="37"/>
      <c r="AD496" s="38"/>
      <c r="AE496" s="38"/>
      <c r="AF496" s="38"/>
      <c r="AG496" s="38"/>
      <c r="AH496" s="38"/>
      <c r="AJ496" s="39"/>
    </row>
    <row r="497" spans="4:36" s="36" customFormat="1" x14ac:dyDescent="0.25">
      <c r="D497" s="37"/>
      <c r="E497" s="38"/>
      <c r="F497" s="38"/>
      <c r="G497" s="38"/>
      <c r="H497" s="38"/>
      <c r="I497" s="38"/>
      <c r="J497" s="38"/>
      <c r="K497" s="38"/>
      <c r="M497" s="37"/>
      <c r="N497" s="37"/>
      <c r="O497" s="37"/>
      <c r="AD497" s="38"/>
      <c r="AE497" s="38"/>
      <c r="AF497" s="38"/>
      <c r="AG497" s="38"/>
      <c r="AH497" s="38"/>
      <c r="AJ497" s="39"/>
    </row>
    <row r="498" spans="4:36" s="36" customFormat="1" x14ac:dyDescent="0.25">
      <c r="D498" s="37"/>
      <c r="E498" s="38"/>
      <c r="F498" s="38"/>
      <c r="G498" s="38"/>
      <c r="H498" s="38"/>
      <c r="I498" s="38"/>
      <c r="J498" s="38"/>
      <c r="K498" s="38"/>
      <c r="M498" s="37"/>
      <c r="N498" s="37"/>
      <c r="O498" s="37"/>
      <c r="AD498" s="38"/>
      <c r="AE498" s="38"/>
      <c r="AF498" s="38"/>
      <c r="AG498" s="38"/>
      <c r="AH498" s="38"/>
      <c r="AJ498" s="39"/>
    </row>
    <row r="499" spans="4:36" s="36" customFormat="1" x14ac:dyDescent="0.25">
      <c r="D499" s="37"/>
      <c r="E499" s="38"/>
      <c r="F499" s="38"/>
      <c r="G499" s="38"/>
      <c r="H499" s="38"/>
      <c r="I499" s="38"/>
      <c r="J499" s="38"/>
      <c r="K499" s="38"/>
      <c r="M499" s="37"/>
      <c r="N499" s="37"/>
      <c r="O499" s="37"/>
      <c r="AD499" s="38"/>
      <c r="AE499" s="38"/>
      <c r="AF499" s="38"/>
      <c r="AG499" s="38"/>
      <c r="AH499" s="38"/>
      <c r="AJ499" s="39"/>
    </row>
    <row r="500" spans="4:36" s="36" customFormat="1" x14ac:dyDescent="0.25">
      <c r="D500" s="37"/>
      <c r="E500" s="38"/>
      <c r="F500" s="38"/>
      <c r="G500" s="38"/>
      <c r="H500" s="38"/>
      <c r="I500" s="38"/>
      <c r="J500" s="38"/>
      <c r="K500" s="38"/>
      <c r="M500" s="37"/>
      <c r="N500" s="37"/>
      <c r="O500" s="37"/>
      <c r="AD500" s="38"/>
      <c r="AE500" s="38"/>
      <c r="AF500" s="38"/>
      <c r="AG500" s="38"/>
      <c r="AH500" s="38"/>
      <c r="AJ500" s="39"/>
    </row>
    <row r="501" spans="4:36" s="36" customFormat="1" x14ac:dyDescent="0.25">
      <c r="D501" s="37"/>
      <c r="E501" s="38"/>
      <c r="F501" s="38"/>
      <c r="G501" s="38"/>
      <c r="H501" s="38"/>
      <c r="I501" s="38"/>
      <c r="J501" s="38"/>
      <c r="K501" s="38"/>
      <c r="M501" s="37"/>
      <c r="N501" s="37"/>
      <c r="O501" s="37"/>
      <c r="AD501" s="38"/>
      <c r="AE501" s="38"/>
      <c r="AF501" s="38"/>
      <c r="AG501" s="38"/>
      <c r="AH501" s="38"/>
      <c r="AJ501" s="39"/>
    </row>
    <row r="502" spans="4:36" s="36" customFormat="1" x14ac:dyDescent="0.25">
      <c r="D502" s="37"/>
      <c r="E502" s="38"/>
      <c r="F502" s="38"/>
      <c r="G502" s="38"/>
      <c r="H502" s="38"/>
      <c r="I502" s="38"/>
      <c r="J502" s="38"/>
      <c r="K502" s="38"/>
      <c r="M502" s="37"/>
      <c r="N502" s="37"/>
      <c r="O502" s="37"/>
      <c r="AD502" s="38"/>
      <c r="AE502" s="38"/>
      <c r="AF502" s="38"/>
      <c r="AG502" s="38"/>
      <c r="AH502" s="38"/>
      <c r="AJ502" s="39"/>
    </row>
    <row r="503" spans="4:36" s="36" customFormat="1" x14ac:dyDescent="0.25">
      <c r="D503" s="37"/>
      <c r="E503" s="38"/>
      <c r="F503" s="38"/>
      <c r="G503" s="38"/>
      <c r="H503" s="38"/>
      <c r="I503" s="38"/>
      <c r="J503" s="38"/>
      <c r="K503" s="38"/>
      <c r="M503" s="37"/>
      <c r="N503" s="37"/>
      <c r="O503" s="37"/>
      <c r="AD503" s="38"/>
      <c r="AE503" s="38"/>
      <c r="AF503" s="38"/>
      <c r="AG503" s="38"/>
      <c r="AH503" s="38"/>
      <c r="AJ503" s="39"/>
    </row>
    <row r="504" spans="4:36" s="36" customFormat="1" x14ac:dyDescent="0.25">
      <c r="D504" s="37"/>
      <c r="E504" s="38"/>
      <c r="F504" s="38"/>
      <c r="G504" s="38"/>
      <c r="H504" s="38"/>
      <c r="I504" s="38"/>
      <c r="J504" s="38"/>
      <c r="K504" s="38"/>
      <c r="M504" s="37"/>
      <c r="N504" s="37"/>
      <c r="O504" s="37"/>
      <c r="AD504" s="38"/>
      <c r="AE504" s="38"/>
      <c r="AF504" s="38"/>
      <c r="AG504" s="38"/>
      <c r="AH504" s="38"/>
      <c r="AJ504" s="39"/>
    </row>
    <row r="505" spans="4:36" s="36" customFormat="1" x14ac:dyDescent="0.25">
      <c r="D505" s="37"/>
      <c r="E505" s="38"/>
      <c r="F505" s="38"/>
      <c r="G505" s="38"/>
      <c r="H505" s="38"/>
      <c r="I505" s="38"/>
      <c r="J505" s="38"/>
      <c r="K505" s="38"/>
      <c r="M505" s="37"/>
      <c r="N505" s="37"/>
      <c r="O505" s="37"/>
      <c r="AD505" s="38"/>
      <c r="AE505" s="38"/>
      <c r="AF505" s="38"/>
      <c r="AG505" s="38"/>
      <c r="AH505" s="38"/>
      <c r="AJ505" s="39"/>
    </row>
    <row r="506" spans="4:36" s="36" customFormat="1" x14ac:dyDescent="0.25">
      <c r="D506" s="37"/>
      <c r="E506" s="38"/>
      <c r="F506" s="38"/>
      <c r="G506" s="38"/>
      <c r="H506" s="38"/>
      <c r="I506" s="38"/>
      <c r="J506" s="38"/>
      <c r="K506" s="38"/>
      <c r="M506" s="37"/>
      <c r="N506" s="37"/>
      <c r="O506" s="37"/>
      <c r="AD506" s="38"/>
      <c r="AE506" s="38"/>
      <c r="AF506" s="38"/>
      <c r="AG506" s="38"/>
      <c r="AH506" s="38"/>
      <c r="AJ506" s="39"/>
    </row>
    <row r="507" spans="4:36" s="36" customFormat="1" x14ac:dyDescent="0.25">
      <c r="D507" s="37"/>
      <c r="E507" s="38"/>
      <c r="F507" s="38"/>
      <c r="G507" s="38"/>
      <c r="H507" s="38"/>
      <c r="I507" s="38"/>
      <c r="J507" s="38"/>
      <c r="K507" s="38"/>
      <c r="M507" s="37"/>
      <c r="N507" s="37"/>
      <c r="O507" s="37"/>
      <c r="AD507" s="38"/>
      <c r="AE507" s="38"/>
      <c r="AF507" s="38"/>
      <c r="AG507" s="38"/>
      <c r="AH507" s="38"/>
      <c r="AJ507" s="39"/>
    </row>
    <row r="508" spans="4:36" s="36" customFormat="1" x14ac:dyDescent="0.25">
      <c r="D508" s="37"/>
      <c r="E508" s="38"/>
      <c r="F508" s="38"/>
      <c r="G508" s="38"/>
      <c r="H508" s="38"/>
      <c r="I508" s="38"/>
      <c r="J508" s="38"/>
      <c r="K508" s="38"/>
      <c r="M508" s="37"/>
      <c r="N508" s="37"/>
      <c r="O508" s="37"/>
      <c r="AD508" s="38"/>
      <c r="AE508" s="38"/>
      <c r="AF508" s="38"/>
      <c r="AG508" s="38"/>
      <c r="AH508" s="38"/>
      <c r="AJ508" s="39"/>
    </row>
    <row r="509" spans="4:36" s="36" customFormat="1" x14ac:dyDescent="0.25">
      <c r="D509" s="37"/>
      <c r="E509" s="38"/>
      <c r="F509" s="38"/>
      <c r="G509" s="38"/>
      <c r="H509" s="38"/>
      <c r="I509" s="38"/>
      <c r="J509" s="38"/>
      <c r="K509" s="38"/>
      <c r="M509" s="37"/>
      <c r="N509" s="37"/>
      <c r="O509" s="37"/>
      <c r="AD509" s="38"/>
      <c r="AE509" s="38"/>
      <c r="AF509" s="38"/>
      <c r="AG509" s="38"/>
      <c r="AH509" s="38"/>
      <c r="AJ509" s="39"/>
    </row>
    <row r="510" spans="4:36" s="36" customFormat="1" x14ac:dyDescent="0.25">
      <c r="D510" s="37"/>
      <c r="E510" s="38"/>
      <c r="F510" s="38"/>
      <c r="G510" s="38"/>
      <c r="H510" s="38"/>
      <c r="I510" s="38"/>
      <c r="J510" s="38"/>
      <c r="K510" s="38"/>
      <c r="M510" s="37"/>
      <c r="N510" s="37"/>
      <c r="O510" s="37"/>
      <c r="AD510" s="38"/>
      <c r="AE510" s="38"/>
      <c r="AF510" s="38"/>
      <c r="AG510" s="38"/>
      <c r="AH510" s="38"/>
      <c r="AJ510" s="39"/>
    </row>
    <row r="511" spans="4:36" s="36" customFormat="1" x14ac:dyDescent="0.25">
      <c r="D511" s="37"/>
      <c r="E511" s="38"/>
      <c r="F511" s="38"/>
      <c r="G511" s="38"/>
      <c r="H511" s="38"/>
      <c r="I511" s="38"/>
      <c r="J511" s="38"/>
      <c r="K511" s="38"/>
      <c r="M511" s="37"/>
      <c r="N511" s="37"/>
      <c r="O511" s="37"/>
      <c r="AD511" s="38"/>
      <c r="AE511" s="38"/>
      <c r="AF511" s="38"/>
      <c r="AG511" s="38"/>
      <c r="AH511" s="38"/>
      <c r="AJ511" s="39"/>
    </row>
    <row r="512" spans="4:36" s="36" customFormat="1" x14ac:dyDescent="0.25">
      <c r="D512" s="37"/>
      <c r="E512" s="38"/>
      <c r="F512" s="38"/>
      <c r="G512" s="38"/>
      <c r="H512" s="38"/>
      <c r="I512" s="38"/>
      <c r="J512" s="38"/>
      <c r="K512" s="38"/>
      <c r="M512" s="37"/>
      <c r="N512" s="37"/>
      <c r="O512" s="37"/>
      <c r="AD512" s="38"/>
      <c r="AE512" s="38"/>
      <c r="AF512" s="38"/>
      <c r="AG512" s="38"/>
      <c r="AH512" s="38"/>
      <c r="AJ512" s="39"/>
    </row>
    <row r="513" spans="4:36" s="36" customFormat="1" x14ac:dyDescent="0.25">
      <c r="D513" s="37"/>
      <c r="E513" s="38"/>
      <c r="F513" s="38"/>
      <c r="G513" s="38"/>
      <c r="H513" s="38"/>
      <c r="I513" s="38"/>
      <c r="J513" s="38"/>
      <c r="K513" s="38"/>
      <c r="M513" s="37"/>
      <c r="N513" s="37"/>
      <c r="O513" s="37"/>
      <c r="AD513" s="38"/>
      <c r="AE513" s="38"/>
      <c r="AF513" s="38"/>
      <c r="AG513" s="38"/>
      <c r="AH513" s="38"/>
      <c r="AJ513" s="39"/>
    </row>
    <row r="514" spans="4:36" s="36" customFormat="1" x14ac:dyDescent="0.25">
      <c r="D514" s="37"/>
      <c r="E514" s="38"/>
      <c r="F514" s="38"/>
      <c r="G514" s="38"/>
      <c r="H514" s="38"/>
      <c r="I514" s="38"/>
      <c r="J514" s="38"/>
      <c r="K514" s="38"/>
      <c r="M514" s="37"/>
      <c r="N514" s="37"/>
      <c r="O514" s="37"/>
      <c r="AD514" s="38"/>
      <c r="AE514" s="38"/>
      <c r="AF514" s="38"/>
      <c r="AG514" s="38"/>
      <c r="AH514" s="38"/>
      <c r="AJ514" s="39"/>
    </row>
    <row r="515" spans="4:36" s="36" customFormat="1" x14ac:dyDescent="0.25">
      <c r="D515" s="37"/>
      <c r="E515" s="38"/>
      <c r="F515" s="38"/>
      <c r="G515" s="38"/>
      <c r="H515" s="38"/>
      <c r="I515" s="38"/>
      <c r="J515" s="38"/>
      <c r="K515" s="38"/>
      <c r="M515" s="37"/>
      <c r="N515" s="37"/>
      <c r="O515" s="37"/>
      <c r="AD515" s="38"/>
      <c r="AE515" s="38"/>
      <c r="AF515" s="38"/>
      <c r="AG515" s="38"/>
      <c r="AH515" s="38"/>
      <c r="AJ515" s="39"/>
    </row>
    <row r="516" spans="4:36" s="36" customFormat="1" x14ac:dyDescent="0.25">
      <c r="D516" s="37"/>
      <c r="E516" s="38"/>
      <c r="F516" s="38"/>
      <c r="G516" s="38"/>
      <c r="H516" s="38"/>
      <c r="I516" s="38"/>
      <c r="J516" s="38"/>
      <c r="K516" s="38"/>
      <c r="M516" s="37"/>
      <c r="N516" s="37"/>
      <c r="O516" s="37"/>
      <c r="AD516" s="38"/>
      <c r="AE516" s="38"/>
      <c r="AF516" s="38"/>
      <c r="AG516" s="38"/>
      <c r="AH516" s="38"/>
      <c r="AJ516" s="39"/>
    </row>
    <row r="517" spans="4:36" s="36" customFormat="1" x14ac:dyDescent="0.25">
      <c r="D517" s="37"/>
      <c r="E517" s="38"/>
      <c r="F517" s="38"/>
      <c r="G517" s="38"/>
      <c r="H517" s="38"/>
      <c r="I517" s="38"/>
      <c r="J517" s="38"/>
      <c r="K517" s="38"/>
      <c r="M517" s="37"/>
      <c r="N517" s="37"/>
      <c r="O517" s="37"/>
      <c r="AD517" s="38"/>
      <c r="AE517" s="38"/>
      <c r="AF517" s="38"/>
      <c r="AG517" s="38"/>
      <c r="AH517" s="38"/>
      <c r="AJ517" s="39"/>
    </row>
    <row r="518" spans="4:36" s="36" customFormat="1" x14ac:dyDescent="0.25">
      <c r="D518" s="37"/>
      <c r="E518" s="38"/>
      <c r="F518" s="38"/>
      <c r="G518" s="38"/>
      <c r="H518" s="38"/>
      <c r="I518" s="38"/>
      <c r="J518" s="38"/>
      <c r="K518" s="38"/>
      <c r="M518" s="37"/>
      <c r="N518" s="37"/>
      <c r="O518" s="37"/>
      <c r="AD518" s="38"/>
      <c r="AE518" s="38"/>
      <c r="AF518" s="38"/>
      <c r="AG518" s="38"/>
      <c r="AH518" s="38"/>
      <c r="AJ518" s="39"/>
    </row>
    <row r="519" spans="4:36" s="36" customFormat="1" x14ac:dyDescent="0.25">
      <c r="D519" s="37"/>
      <c r="E519" s="38"/>
      <c r="F519" s="38"/>
      <c r="G519" s="38"/>
      <c r="H519" s="38"/>
      <c r="I519" s="38"/>
      <c r="J519" s="38"/>
      <c r="K519" s="38"/>
      <c r="M519" s="37"/>
      <c r="N519" s="37"/>
      <c r="O519" s="37"/>
      <c r="AD519" s="38"/>
      <c r="AE519" s="38"/>
      <c r="AF519" s="38"/>
      <c r="AG519" s="38"/>
      <c r="AH519" s="38"/>
      <c r="AJ519" s="39"/>
    </row>
    <row r="520" spans="4:36" s="36" customFormat="1" x14ac:dyDescent="0.25">
      <c r="D520" s="37"/>
      <c r="E520" s="38"/>
      <c r="F520" s="38"/>
      <c r="G520" s="38"/>
      <c r="H520" s="38"/>
      <c r="I520" s="38"/>
      <c r="J520" s="38"/>
      <c r="K520" s="38"/>
      <c r="M520" s="37"/>
      <c r="N520" s="37"/>
      <c r="O520" s="37"/>
      <c r="AD520" s="38"/>
      <c r="AE520" s="38"/>
      <c r="AF520" s="38"/>
      <c r="AG520" s="38"/>
      <c r="AH520" s="38"/>
      <c r="AJ520" s="39"/>
    </row>
    <row r="521" spans="4:36" s="36" customFormat="1" x14ac:dyDescent="0.25">
      <c r="D521" s="37"/>
      <c r="E521" s="38"/>
      <c r="F521" s="38"/>
      <c r="G521" s="38"/>
      <c r="H521" s="38"/>
      <c r="I521" s="38"/>
      <c r="J521" s="38"/>
      <c r="K521" s="38"/>
      <c r="M521" s="37"/>
      <c r="N521" s="37"/>
      <c r="O521" s="37"/>
      <c r="AD521" s="38"/>
      <c r="AE521" s="38"/>
      <c r="AF521" s="38"/>
      <c r="AG521" s="38"/>
      <c r="AH521" s="38"/>
      <c r="AJ521" s="39"/>
    </row>
    <row r="522" spans="4:36" s="36" customFormat="1" x14ac:dyDescent="0.25">
      <c r="D522" s="37"/>
      <c r="E522" s="38"/>
      <c r="F522" s="38"/>
      <c r="G522" s="38"/>
      <c r="H522" s="38"/>
      <c r="I522" s="38"/>
      <c r="J522" s="38"/>
      <c r="K522" s="38"/>
      <c r="M522" s="37"/>
      <c r="N522" s="37"/>
      <c r="O522" s="37"/>
      <c r="AD522" s="38"/>
      <c r="AE522" s="38"/>
      <c r="AF522" s="38"/>
      <c r="AG522" s="38"/>
      <c r="AH522" s="38"/>
      <c r="AJ522" s="39"/>
    </row>
    <row r="523" spans="4:36" s="36" customFormat="1" x14ac:dyDescent="0.25">
      <c r="D523" s="37"/>
      <c r="E523" s="38"/>
      <c r="F523" s="38"/>
      <c r="G523" s="38"/>
      <c r="H523" s="38"/>
      <c r="I523" s="38"/>
      <c r="J523" s="38"/>
      <c r="K523" s="38"/>
      <c r="M523" s="37"/>
      <c r="N523" s="37"/>
      <c r="O523" s="37"/>
      <c r="AD523" s="38"/>
      <c r="AE523" s="38"/>
      <c r="AF523" s="38"/>
      <c r="AG523" s="38"/>
      <c r="AH523" s="38"/>
      <c r="AJ523" s="39"/>
    </row>
    <row r="524" spans="4:36" s="36" customFormat="1" x14ac:dyDescent="0.25">
      <c r="D524" s="37"/>
      <c r="E524" s="38"/>
      <c r="F524" s="38"/>
      <c r="G524" s="38"/>
      <c r="H524" s="38"/>
      <c r="I524" s="38"/>
      <c r="J524" s="38"/>
      <c r="K524" s="38"/>
      <c r="M524" s="37"/>
      <c r="N524" s="37"/>
      <c r="O524" s="37"/>
      <c r="AD524" s="38"/>
      <c r="AE524" s="38"/>
      <c r="AF524" s="38"/>
      <c r="AG524" s="38"/>
      <c r="AH524" s="38"/>
      <c r="AJ524" s="39"/>
    </row>
    <row r="525" spans="4:36" s="36" customFormat="1" x14ac:dyDescent="0.25">
      <c r="D525" s="37"/>
      <c r="E525" s="38"/>
      <c r="F525" s="38"/>
      <c r="G525" s="38"/>
      <c r="H525" s="38"/>
      <c r="I525" s="38"/>
      <c r="J525" s="38"/>
      <c r="K525" s="38"/>
      <c r="M525" s="37"/>
      <c r="N525" s="37"/>
      <c r="O525" s="37"/>
      <c r="AD525" s="38"/>
      <c r="AE525" s="38"/>
      <c r="AF525" s="38"/>
      <c r="AG525" s="38"/>
      <c r="AH525" s="38"/>
      <c r="AJ525" s="39"/>
    </row>
    <row r="526" spans="4:36" s="36" customFormat="1" x14ac:dyDescent="0.25">
      <c r="D526" s="37"/>
      <c r="E526" s="38"/>
      <c r="F526" s="38"/>
      <c r="G526" s="38"/>
      <c r="H526" s="38"/>
      <c r="I526" s="38"/>
      <c r="J526" s="38"/>
      <c r="K526" s="38"/>
      <c r="M526" s="37"/>
      <c r="N526" s="37"/>
      <c r="O526" s="37"/>
      <c r="AD526" s="38"/>
      <c r="AE526" s="38"/>
      <c r="AF526" s="38"/>
      <c r="AG526" s="38"/>
      <c r="AH526" s="38"/>
      <c r="AJ526" s="39"/>
    </row>
    <row r="527" spans="4:36" s="36" customFormat="1" x14ac:dyDescent="0.25">
      <c r="D527" s="37"/>
      <c r="E527" s="38"/>
      <c r="F527" s="38"/>
      <c r="G527" s="38"/>
      <c r="H527" s="38"/>
      <c r="I527" s="38"/>
      <c r="J527" s="38"/>
      <c r="K527" s="38"/>
      <c r="M527" s="37"/>
      <c r="N527" s="37"/>
      <c r="O527" s="37"/>
      <c r="AD527" s="38"/>
      <c r="AE527" s="38"/>
      <c r="AF527" s="38"/>
      <c r="AG527" s="38"/>
      <c r="AH527" s="38"/>
      <c r="AJ527" s="39"/>
    </row>
    <row r="528" spans="4:36" s="36" customFormat="1" x14ac:dyDescent="0.25">
      <c r="D528" s="37"/>
      <c r="E528" s="38"/>
      <c r="F528" s="38"/>
      <c r="G528" s="38"/>
      <c r="H528" s="38"/>
      <c r="I528" s="38"/>
      <c r="J528" s="38"/>
      <c r="K528" s="38"/>
      <c r="M528" s="37"/>
      <c r="N528" s="37"/>
      <c r="O528" s="37"/>
      <c r="AD528" s="38"/>
      <c r="AE528" s="38"/>
      <c r="AF528" s="38"/>
      <c r="AG528" s="38"/>
      <c r="AH528" s="38"/>
      <c r="AJ528" s="39"/>
    </row>
    <row r="529" spans="4:36" s="36" customFormat="1" x14ac:dyDescent="0.25">
      <c r="D529" s="37"/>
      <c r="E529" s="38"/>
      <c r="F529" s="38"/>
      <c r="G529" s="38"/>
      <c r="H529" s="38"/>
      <c r="I529" s="38"/>
      <c r="J529" s="38"/>
      <c r="K529" s="38"/>
      <c r="M529" s="37"/>
      <c r="N529" s="37"/>
      <c r="O529" s="37"/>
      <c r="AD529" s="38"/>
      <c r="AE529" s="38"/>
      <c r="AF529" s="38"/>
      <c r="AG529" s="38"/>
      <c r="AH529" s="38"/>
      <c r="AJ529" s="39"/>
    </row>
    <row r="530" spans="4:36" s="36" customFormat="1" x14ac:dyDescent="0.25">
      <c r="D530" s="37"/>
      <c r="E530" s="38"/>
      <c r="F530" s="38"/>
      <c r="G530" s="38"/>
      <c r="H530" s="38"/>
      <c r="I530" s="38"/>
      <c r="J530" s="38"/>
      <c r="K530" s="38"/>
      <c r="M530" s="37"/>
      <c r="N530" s="37"/>
      <c r="O530" s="37"/>
      <c r="AD530" s="38"/>
      <c r="AE530" s="38"/>
      <c r="AF530" s="38"/>
      <c r="AG530" s="38"/>
      <c r="AH530" s="38"/>
      <c r="AJ530" s="39"/>
    </row>
    <row r="531" spans="4:36" s="36" customFormat="1" x14ac:dyDescent="0.25">
      <c r="D531" s="37"/>
      <c r="E531" s="38"/>
      <c r="F531" s="38"/>
      <c r="G531" s="38"/>
      <c r="H531" s="38"/>
      <c r="I531" s="38"/>
      <c r="J531" s="38"/>
      <c r="K531" s="38"/>
      <c r="M531" s="37"/>
      <c r="N531" s="37"/>
      <c r="O531" s="37"/>
      <c r="AD531" s="38"/>
      <c r="AE531" s="38"/>
      <c r="AF531" s="38"/>
      <c r="AG531" s="38"/>
      <c r="AH531" s="38"/>
      <c r="AJ531" s="39"/>
    </row>
    <row r="532" spans="4:36" s="36" customFormat="1" x14ac:dyDescent="0.25">
      <c r="D532" s="37"/>
      <c r="E532" s="38"/>
      <c r="F532" s="38"/>
      <c r="G532" s="38"/>
      <c r="H532" s="38"/>
      <c r="I532" s="38"/>
      <c r="J532" s="38"/>
      <c r="K532" s="38"/>
      <c r="M532" s="37"/>
      <c r="N532" s="37"/>
      <c r="O532" s="37"/>
      <c r="AD532" s="38"/>
      <c r="AE532" s="38"/>
      <c r="AF532" s="38"/>
      <c r="AG532" s="38"/>
      <c r="AH532" s="38"/>
      <c r="AJ532" s="39"/>
    </row>
    <row r="533" spans="4:36" s="36" customFormat="1" x14ac:dyDescent="0.25">
      <c r="D533" s="37"/>
      <c r="E533" s="38"/>
      <c r="F533" s="38"/>
      <c r="G533" s="38"/>
      <c r="H533" s="38"/>
      <c r="I533" s="38"/>
      <c r="J533" s="38"/>
      <c r="K533" s="38"/>
      <c r="M533" s="37"/>
      <c r="N533" s="37"/>
      <c r="O533" s="37"/>
      <c r="AD533" s="38"/>
      <c r="AE533" s="38"/>
      <c r="AF533" s="38"/>
      <c r="AG533" s="38"/>
      <c r="AH533" s="38"/>
      <c r="AJ533" s="39"/>
    </row>
    <row r="534" spans="4:36" s="36" customFormat="1" x14ac:dyDescent="0.25">
      <c r="D534" s="37"/>
      <c r="E534" s="38"/>
      <c r="F534" s="38"/>
      <c r="G534" s="38"/>
      <c r="H534" s="38"/>
      <c r="I534" s="38"/>
      <c r="J534" s="38"/>
      <c r="K534" s="38"/>
      <c r="M534" s="37"/>
      <c r="N534" s="37"/>
      <c r="O534" s="37"/>
      <c r="AD534" s="38"/>
      <c r="AE534" s="38"/>
      <c r="AF534" s="38"/>
      <c r="AG534" s="38"/>
      <c r="AH534" s="38"/>
      <c r="AJ534" s="39"/>
    </row>
    <row r="535" spans="4:36" s="36" customFormat="1" x14ac:dyDescent="0.25">
      <c r="D535" s="37"/>
      <c r="E535" s="38"/>
      <c r="F535" s="38"/>
      <c r="G535" s="38"/>
      <c r="H535" s="38"/>
      <c r="I535" s="38"/>
      <c r="J535" s="38"/>
      <c r="K535" s="38"/>
      <c r="M535" s="37"/>
      <c r="N535" s="37"/>
      <c r="O535" s="37"/>
      <c r="AD535" s="38"/>
      <c r="AE535" s="38"/>
      <c r="AF535" s="38"/>
      <c r="AG535" s="38"/>
      <c r="AH535" s="38"/>
      <c r="AJ535" s="39"/>
    </row>
    <row r="536" spans="4:36" s="36" customFormat="1" x14ac:dyDescent="0.25">
      <c r="D536" s="37"/>
      <c r="E536" s="38"/>
      <c r="F536" s="38"/>
      <c r="G536" s="38"/>
      <c r="H536" s="38"/>
      <c r="I536" s="38"/>
      <c r="J536" s="38"/>
      <c r="K536" s="38"/>
      <c r="M536" s="37"/>
      <c r="N536" s="37"/>
      <c r="O536" s="37"/>
      <c r="AD536" s="38"/>
      <c r="AE536" s="38"/>
      <c r="AF536" s="38"/>
      <c r="AG536" s="38"/>
      <c r="AH536" s="38"/>
      <c r="AJ536" s="39"/>
    </row>
    <row r="537" spans="4:36" s="36" customFormat="1" x14ac:dyDescent="0.25">
      <c r="D537" s="37"/>
      <c r="E537" s="38"/>
      <c r="F537" s="38"/>
      <c r="G537" s="38"/>
      <c r="H537" s="38"/>
      <c r="I537" s="38"/>
      <c r="J537" s="38"/>
      <c r="K537" s="38"/>
      <c r="M537" s="37"/>
      <c r="N537" s="37"/>
      <c r="O537" s="37"/>
      <c r="AD537" s="38"/>
      <c r="AE537" s="38"/>
      <c r="AF537" s="38"/>
      <c r="AG537" s="38"/>
      <c r="AH537" s="38"/>
      <c r="AJ537" s="39"/>
    </row>
    <row r="538" spans="4:36" s="36" customFormat="1" x14ac:dyDescent="0.25">
      <c r="D538" s="37"/>
      <c r="E538" s="38"/>
      <c r="F538" s="38"/>
      <c r="G538" s="38"/>
      <c r="H538" s="38"/>
      <c r="I538" s="38"/>
      <c r="J538" s="38"/>
      <c r="K538" s="38"/>
      <c r="M538" s="37"/>
      <c r="N538" s="37"/>
      <c r="O538" s="37"/>
      <c r="AD538" s="38"/>
      <c r="AE538" s="38"/>
      <c r="AF538" s="38"/>
      <c r="AG538" s="38"/>
      <c r="AH538" s="38"/>
      <c r="AJ538" s="39"/>
    </row>
    <row r="539" spans="4:36" s="36" customFormat="1" x14ac:dyDescent="0.25">
      <c r="D539" s="37"/>
      <c r="E539" s="38"/>
      <c r="F539" s="38"/>
      <c r="G539" s="38"/>
      <c r="H539" s="38"/>
      <c r="I539" s="38"/>
      <c r="J539" s="38"/>
      <c r="K539" s="38"/>
      <c r="M539" s="37"/>
      <c r="N539" s="37"/>
      <c r="O539" s="37"/>
      <c r="AD539" s="38"/>
      <c r="AE539" s="38"/>
      <c r="AF539" s="38"/>
      <c r="AG539" s="38"/>
      <c r="AH539" s="38"/>
      <c r="AJ539" s="39"/>
    </row>
    <row r="540" spans="4:36" s="36" customFormat="1" x14ac:dyDescent="0.25">
      <c r="D540" s="37"/>
      <c r="E540" s="38"/>
      <c r="F540" s="38"/>
      <c r="G540" s="38"/>
      <c r="H540" s="38"/>
      <c r="I540" s="38"/>
      <c r="J540" s="38"/>
      <c r="K540" s="38"/>
      <c r="M540" s="37"/>
      <c r="N540" s="37"/>
      <c r="O540" s="37"/>
      <c r="AD540" s="38"/>
      <c r="AE540" s="38"/>
      <c r="AF540" s="38"/>
      <c r="AG540" s="38"/>
      <c r="AH540" s="38"/>
      <c r="AJ540" s="39"/>
    </row>
    <row r="541" spans="4:36" s="36" customFormat="1" x14ac:dyDescent="0.25">
      <c r="D541" s="37"/>
      <c r="E541" s="38"/>
      <c r="F541" s="38"/>
      <c r="G541" s="38"/>
      <c r="H541" s="38"/>
      <c r="I541" s="38"/>
      <c r="J541" s="38"/>
      <c r="K541" s="38"/>
      <c r="M541" s="37"/>
      <c r="N541" s="37"/>
      <c r="O541" s="37"/>
      <c r="AD541" s="38"/>
      <c r="AE541" s="38"/>
      <c r="AF541" s="38"/>
      <c r="AG541" s="38"/>
      <c r="AH541" s="38"/>
      <c r="AJ541" s="39"/>
    </row>
    <row r="542" spans="4:36" s="36" customFormat="1" x14ac:dyDescent="0.25">
      <c r="D542" s="37"/>
      <c r="E542" s="38"/>
      <c r="F542" s="38"/>
      <c r="G542" s="38"/>
      <c r="H542" s="38"/>
      <c r="I542" s="38"/>
      <c r="J542" s="38"/>
      <c r="K542" s="38"/>
      <c r="M542" s="37"/>
      <c r="N542" s="37"/>
      <c r="O542" s="37"/>
      <c r="AD542" s="38"/>
      <c r="AE542" s="38"/>
      <c r="AF542" s="38"/>
      <c r="AG542" s="38"/>
      <c r="AH542" s="38"/>
      <c r="AJ542" s="39"/>
    </row>
    <row r="543" spans="4:36" s="36" customFormat="1" x14ac:dyDescent="0.25">
      <c r="D543" s="37"/>
      <c r="E543" s="38"/>
      <c r="F543" s="38"/>
      <c r="G543" s="38"/>
      <c r="H543" s="38"/>
      <c r="I543" s="38"/>
      <c r="J543" s="38"/>
      <c r="K543" s="38"/>
      <c r="M543" s="37"/>
      <c r="N543" s="37"/>
      <c r="O543" s="37"/>
      <c r="AD543" s="38"/>
      <c r="AE543" s="38"/>
      <c r="AF543" s="38"/>
      <c r="AG543" s="38"/>
      <c r="AH543" s="38"/>
      <c r="AJ543" s="39"/>
    </row>
    <row r="544" spans="4:36" s="36" customFormat="1" x14ac:dyDescent="0.25">
      <c r="D544" s="37"/>
      <c r="E544" s="38"/>
      <c r="F544" s="38"/>
      <c r="G544" s="38"/>
      <c r="H544" s="38"/>
      <c r="I544" s="38"/>
      <c r="J544" s="38"/>
      <c r="K544" s="38"/>
      <c r="M544" s="37"/>
      <c r="N544" s="37"/>
      <c r="O544" s="37"/>
      <c r="AD544" s="38"/>
      <c r="AE544" s="38"/>
      <c r="AF544" s="38"/>
      <c r="AG544" s="38"/>
      <c r="AH544" s="38"/>
      <c r="AJ544" s="39"/>
    </row>
    <row r="545" spans="4:36" s="36" customFormat="1" x14ac:dyDescent="0.25">
      <c r="D545" s="37"/>
      <c r="E545" s="38"/>
      <c r="F545" s="38"/>
      <c r="G545" s="38"/>
      <c r="H545" s="38"/>
      <c r="I545" s="38"/>
      <c r="J545" s="38"/>
      <c r="K545" s="38"/>
      <c r="M545" s="37"/>
      <c r="N545" s="37"/>
      <c r="O545" s="37"/>
      <c r="AD545" s="38"/>
      <c r="AE545" s="38"/>
      <c r="AF545" s="38"/>
      <c r="AG545" s="38"/>
      <c r="AH545" s="38"/>
      <c r="AJ545" s="39"/>
    </row>
    <row r="546" spans="4:36" s="36" customFormat="1" x14ac:dyDescent="0.25">
      <c r="D546" s="37"/>
      <c r="E546" s="38"/>
      <c r="F546" s="38"/>
      <c r="G546" s="38"/>
      <c r="H546" s="38"/>
      <c r="I546" s="38"/>
      <c r="J546" s="38"/>
      <c r="K546" s="38"/>
      <c r="M546" s="37"/>
      <c r="N546" s="37"/>
      <c r="O546" s="37"/>
      <c r="AD546" s="38"/>
      <c r="AE546" s="38"/>
      <c r="AF546" s="38"/>
      <c r="AG546" s="38"/>
      <c r="AH546" s="38"/>
      <c r="AJ546" s="39"/>
    </row>
    <row r="547" spans="4:36" s="36" customFormat="1" x14ac:dyDescent="0.25">
      <c r="D547" s="37"/>
      <c r="E547" s="38"/>
      <c r="F547" s="38"/>
      <c r="G547" s="38"/>
      <c r="H547" s="38"/>
      <c r="I547" s="38"/>
      <c r="J547" s="38"/>
      <c r="K547" s="38"/>
      <c r="M547" s="37"/>
      <c r="N547" s="37"/>
      <c r="O547" s="37"/>
      <c r="AD547" s="38"/>
      <c r="AE547" s="38"/>
      <c r="AF547" s="38"/>
      <c r="AG547" s="38"/>
      <c r="AH547" s="38"/>
      <c r="AJ547" s="39"/>
    </row>
    <row r="548" spans="4:36" s="36" customFormat="1" x14ac:dyDescent="0.25">
      <c r="D548" s="37"/>
      <c r="E548" s="38"/>
      <c r="F548" s="38"/>
      <c r="G548" s="38"/>
      <c r="H548" s="38"/>
      <c r="I548" s="38"/>
      <c r="J548" s="38"/>
      <c r="K548" s="38"/>
      <c r="M548" s="37"/>
      <c r="N548" s="37"/>
      <c r="O548" s="37"/>
      <c r="AD548" s="38"/>
      <c r="AE548" s="38"/>
      <c r="AF548" s="38"/>
      <c r="AG548" s="38"/>
      <c r="AH548" s="38"/>
      <c r="AJ548" s="39"/>
    </row>
    <row r="549" spans="4:36" s="36" customFormat="1" x14ac:dyDescent="0.25">
      <c r="D549" s="37"/>
      <c r="E549" s="38"/>
      <c r="F549" s="38"/>
      <c r="G549" s="38"/>
      <c r="H549" s="38"/>
      <c r="I549" s="38"/>
      <c r="J549" s="38"/>
      <c r="K549" s="38"/>
      <c r="M549" s="37"/>
      <c r="N549" s="37"/>
      <c r="O549" s="37"/>
      <c r="AD549" s="38"/>
      <c r="AE549" s="38"/>
      <c r="AF549" s="38"/>
      <c r="AG549" s="38"/>
      <c r="AH549" s="38"/>
      <c r="AJ549" s="39"/>
    </row>
    <row r="550" spans="4:36" s="36" customFormat="1" x14ac:dyDescent="0.25">
      <c r="D550" s="37"/>
      <c r="E550" s="38"/>
      <c r="F550" s="38"/>
      <c r="G550" s="38"/>
      <c r="H550" s="38"/>
      <c r="I550" s="38"/>
      <c r="J550" s="38"/>
      <c r="K550" s="38"/>
      <c r="M550" s="37"/>
      <c r="N550" s="37"/>
      <c r="O550" s="37"/>
      <c r="AD550" s="38"/>
      <c r="AE550" s="38"/>
      <c r="AF550" s="38"/>
      <c r="AG550" s="38"/>
      <c r="AH550" s="38"/>
      <c r="AJ550" s="39"/>
    </row>
    <row r="551" spans="4:36" s="36" customFormat="1" x14ac:dyDescent="0.25">
      <c r="D551" s="37"/>
      <c r="E551" s="38"/>
      <c r="F551" s="38"/>
      <c r="G551" s="38"/>
      <c r="H551" s="38"/>
      <c r="I551" s="38"/>
      <c r="J551" s="38"/>
      <c r="K551" s="38"/>
      <c r="M551" s="37"/>
      <c r="N551" s="37"/>
      <c r="O551" s="37"/>
      <c r="AD551" s="38"/>
      <c r="AE551" s="38"/>
      <c r="AF551" s="38"/>
      <c r="AG551" s="38"/>
      <c r="AH551" s="38"/>
      <c r="AJ551" s="39"/>
    </row>
    <row r="552" spans="4:36" s="36" customFormat="1" x14ac:dyDescent="0.25">
      <c r="D552" s="37"/>
      <c r="E552" s="38"/>
      <c r="F552" s="38"/>
      <c r="G552" s="38"/>
      <c r="H552" s="38"/>
      <c r="I552" s="38"/>
      <c r="J552" s="38"/>
      <c r="K552" s="38"/>
      <c r="M552" s="37"/>
      <c r="N552" s="37"/>
      <c r="O552" s="37"/>
      <c r="AD552" s="38"/>
      <c r="AE552" s="38"/>
      <c r="AF552" s="38"/>
      <c r="AG552" s="38"/>
      <c r="AH552" s="38"/>
      <c r="AJ552" s="39"/>
    </row>
    <row r="553" spans="4:36" s="36" customFormat="1" x14ac:dyDescent="0.25">
      <c r="D553" s="37"/>
      <c r="E553" s="38"/>
      <c r="F553" s="38"/>
      <c r="G553" s="38"/>
      <c r="H553" s="38"/>
      <c r="I553" s="38"/>
      <c r="J553" s="38"/>
      <c r="K553" s="38"/>
      <c r="M553" s="37"/>
      <c r="N553" s="37"/>
      <c r="O553" s="37"/>
      <c r="AD553" s="38"/>
      <c r="AE553" s="38"/>
      <c r="AF553" s="38"/>
      <c r="AG553" s="38"/>
      <c r="AH553" s="38"/>
      <c r="AJ553" s="39"/>
    </row>
    <row r="554" spans="4:36" s="36" customFormat="1" x14ac:dyDescent="0.25">
      <c r="D554" s="37"/>
      <c r="E554" s="38"/>
      <c r="F554" s="38"/>
      <c r="G554" s="38"/>
      <c r="H554" s="38"/>
      <c r="I554" s="38"/>
      <c r="J554" s="38"/>
      <c r="K554" s="38"/>
      <c r="M554" s="37"/>
      <c r="N554" s="37"/>
      <c r="O554" s="37"/>
      <c r="AD554" s="38"/>
      <c r="AE554" s="38"/>
      <c r="AF554" s="38"/>
      <c r="AG554" s="38"/>
      <c r="AH554" s="38"/>
      <c r="AJ554" s="39"/>
    </row>
    <row r="555" spans="4:36" s="36" customFormat="1" x14ac:dyDescent="0.25">
      <c r="D555" s="37"/>
      <c r="E555" s="38"/>
      <c r="F555" s="38"/>
      <c r="G555" s="38"/>
      <c r="H555" s="38"/>
      <c r="I555" s="38"/>
      <c r="J555" s="38"/>
      <c r="K555" s="38"/>
      <c r="M555" s="37"/>
      <c r="N555" s="37"/>
      <c r="O555" s="37"/>
      <c r="AD555" s="38"/>
      <c r="AE555" s="38"/>
      <c r="AF555" s="38"/>
      <c r="AG555" s="38"/>
      <c r="AH555" s="38"/>
      <c r="AJ555" s="39"/>
    </row>
    <row r="556" spans="4:36" s="36" customFormat="1" x14ac:dyDescent="0.25">
      <c r="D556" s="37"/>
      <c r="E556" s="38"/>
      <c r="F556" s="38"/>
      <c r="G556" s="38"/>
      <c r="H556" s="38"/>
      <c r="I556" s="38"/>
      <c r="J556" s="38"/>
      <c r="K556" s="38"/>
      <c r="M556" s="37"/>
      <c r="N556" s="37"/>
      <c r="O556" s="37"/>
      <c r="AD556" s="38"/>
      <c r="AE556" s="38"/>
      <c r="AF556" s="38"/>
      <c r="AG556" s="38"/>
      <c r="AH556" s="38"/>
      <c r="AJ556" s="39"/>
    </row>
    <row r="557" spans="4:36" s="36" customFormat="1" x14ac:dyDescent="0.25">
      <c r="D557" s="37"/>
      <c r="E557" s="38"/>
      <c r="F557" s="38"/>
      <c r="G557" s="38"/>
      <c r="H557" s="38"/>
      <c r="I557" s="38"/>
      <c r="J557" s="38"/>
      <c r="K557" s="38"/>
      <c r="M557" s="37"/>
      <c r="N557" s="37"/>
      <c r="O557" s="37"/>
      <c r="AD557" s="38"/>
      <c r="AE557" s="38"/>
      <c r="AF557" s="38"/>
      <c r="AG557" s="38"/>
      <c r="AH557" s="38"/>
      <c r="AJ557" s="39"/>
    </row>
    <row r="558" spans="4:36" s="36" customFormat="1" x14ac:dyDescent="0.25">
      <c r="D558" s="37"/>
      <c r="E558" s="38"/>
      <c r="F558" s="38"/>
      <c r="G558" s="38"/>
      <c r="H558" s="38"/>
      <c r="I558" s="38"/>
      <c r="J558" s="38"/>
      <c r="K558" s="38"/>
      <c r="M558" s="37"/>
      <c r="N558" s="37"/>
      <c r="O558" s="37"/>
      <c r="AD558" s="38"/>
      <c r="AE558" s="38"/>
      <c r="AF558" s="38"/>
      <c r="AG558" s="38"/>
      <c r="AH558" s="38"/>
      <c r="AJ558" s="39"/>
    </row>
    <row r="559" spans="4:36" s="36" customFormat="1" x14ac:dyDescent="0.25">
      <c r="D559" s="37"/>
      <c r="E559" s="38"/>
      <c r="F559" s="38"/>
      <c r="G559" s="38"/>
      <c r="H559" s="38"/>
      <c r="I559" s="38"/>
      <c r="J559" s="38"/>
      <c r="K559" s="38"/>
      <c r="M559" s="37"/>
      <c r="N559" s="37"/>
      <c r="O559" s="37"/>
      <c r="AD559" s="38"/>
      <c r="AE559" s="38"/>
      <c r="AF559" s="38"/>
      <c r="AG559" s="38"/>
      <c r="AH559" s="38"/>
      <c r="AJ559" s="39"/>
    </row>
    <row r="560" spans="4:36" s="36" customFormat="1" x14ac:dyDescent="0.25">
      <c r="D560" s="37"/>
      <c r="E560" s="38"/>
      <c r="F560" s="38"/>
      <c r="G560" s="38"/>
      <c r="H560" s="38"/>
      <c r="I560" s="38"/>
      <c r="J560" s="38"/>
      <c r="K560" s="38"/>
      <c r="M560" s="37"/>
      <c r="N560" s="37"/>
      <c r="O560" s="37"/>
      <c r="AD560" s="38"/>
      <c r="AE560" s="38"/>
      <c r="AF560" s="38"/>
      <c r="AG560" s="38"/>
      <c r="AH560" s="38"/>
      <c r="AJ560" s="39"/>
    </row>
    <row r="561" spans="4:36" s="36" customFormat="1" x14ac:dyDescent="0.25">
      <c r="D561" s="37"/>
      <c r="E561" s="38"/>
      <c r="F561" s="38"/>
      <c r="G561" s="38"/>
      <c r="H561" s="38"/>
      <c r="I561" s="38"/>
      <c r="J561" s="38"/>
      <c r="K561" s="38"/>
      <c r="M561" s="37"/>
      <c r="N561" s="37"/>
      <c r="O561" s="37"/>
      <c r="AD561" s="38"/>
      <c r="AE561" s="38"/>
      <c r="AF561" s="38"/>
      <c r="AG561" s="38"/>
      <c r="AH561" s="38"/>
      <c r="AJ561" s="39"/>
    </row>
    <row r="562" spans="4:36" s="36" customFormat="1" x14ac:dyDescent="0.25">
      <c r="D562" s="37"/>
      <c r="E562" s="38"/>
      <c r="F562" s="38"/>
      <c r="G562" s="38"/>
      <c r="H562" s="38"/>
      <c r="I562" s="38"/>
      <c r="J562" s="38"/>
      <c r="K562" s="38"/>
      <c r="M562" s="37"/>
      <c r="N562" s="37"/>
      <c r="O562" s="37"/>
      <c r="AD562" s="38"/>
      <c r="AE562" s="38"/>
      <c r="AF562" s="38"/>
      <c r="AG562" s="38"/>
      <c r="AH562" s="38"/>
      <c r="AJ562" s="39"/>
    </row>
    <row r="563" spans="4:36" s="36" customFormat="1" x14ac:dyDescent="0.25">
      <c r="D563" s="37"/>
      <c r="E563" s="38"/>
      <c r="F563" s="38"/>
      <c r="G563" s="38"/>
      <c r="H563" s="38"/>
      <c r="I563" s="38"/>
      <c r="J563" s="38"/>
      <c r="K563" s="38"/>
      <c r="M563" s="37"/>
      <c r="N563" s="37"/>
      <c r="O563" s="37"/>
      <c r="AD563" s="38"/>
      <c r="AE563" s="38"/>
      <c r="AF563" s="38"/>
      <c r="AG563" s="38"/>
      <c r="AH563" s="38"/>
      <c r="AJ563" s="39"/>
    </row>
    <row r="564" spans="4:36" s="36" customFormat="1" x14ac:dyDescent="0.25">
      <c r="D564" s="37"/>
      <c r="E564" s="38"/>
      <c r="F564" s="38"/>
      <c r="G564" s="38"/>
      <c r="H564" s="38"/>
      <c r="I564" s="38"/>
      <c r="J564" s="38"/>
      <c r="K564" s="38"/>
      <c r="M564" s="37"/>
      <c r="N564" s="37"/>
      <c r="O564" s="37"/>
      <c r="AD564" s="38"/>
      <c r="AE564" s="38"/>
      <c r="AF564" s="38"/>
      <c r="AG564" s="38"/>
      <c r="AH564" s="38"/>
      <c r="AJ564" s="39"/>
    </row>
    <row r="565" spans="4:36" s="36" customFormat="1" x14ac:dyDescent="0.25">
      <c r="D565" s="37"/>
      <c r="E565" s="38"/>
      <c r="F565" s="38"/>
      <c r="G565" s="38"/>
      <c r="H565" s="38"/>
      <c r="I565" s="38"/>
      <c r="J565" s="38"/>
      <c r="K565" s="38"/>
      <c r="M565" s="37"/>
      <c r="N565" s="37"/>
      <c r="O565" s="37"/>
      <c r="AD565" s="38"/>
      <c r="AE565" s="38"/>
      <c r="AF565" s="38"/>
      <c r="AG565" s="38"/>
      <c r="AH565" s="38"/>
      <c r="AJ565" s="39"/>
    </row>
    <row r="566" spans="4:36" s="36" customFormat="1" x14ac:dyDescent="0.25">
      <c r="D566" s="37"/>
      <c r="E566" s="38"/>
      <c r="F566" s="38"/>
      <c r="G566" s="38"/>
      <c r="H566" s="38"/>
      <c r="I566" s="38"/>
      <c r="J566" s="38"/>
      <c r="K566" s="38"/>
      <c r="M566" s="37"/>
      <c r="N566" s="37"/>
      <c r="O566" s="37"/>
      <c r="AD566" s="38"/>
      <c r="AE566" s="38"/>
      <c r="AF566" s="38"/>
      <c r="AG566" s="38"/>
      <c r="AH566" s="38"/>
      <c r="AJ566" s="39"/>
    </row>
    <row r="567" spans="4:36" s="36" customFormat="1" x14ac:dyDescent="0.25">
      <c r="D567" s="37"/>
      <c r="E567" s="38"/>
      <c r="F567" s="38"/>
      <c r="G567" s="38"/>
      <c r="H567" s="38"/>
      <c r="I567" s="38"/>
      <c r="J567" s="38"/>
      <c r="K567" s="38"/>
      <c r="M567" s="37"/>
      <c r="N567" s="37"/>
      <c r="O567" s="37"/>
      <c r="AD567" s="38"/>
      <c r="AE567" s="38"/>
      <c r="AF567" s="38"/>
      <c r="AG567" s="38"/>
      <c r="AH567" s="38"/>
      <c r="AJ567" s="39"/>
    </row>
    <row r="568" spans="4:36" s="36" customFormat="1" x14ac:dyDescent="0.25">
      <c r="D568" s="37"/>
      <c r="E568" s="38"/>
      <c r="F568" s="38"/>
      <c r="G568" s="38"/>
      <c r="H568" s="38"/>
      <c r="I568" s="38"/>
      <c r="J568" s="38"/>
      <c r="K568" s="38"/>
      <c r="M568" s="37"/>
      <c r="N568" s="37"/>
      <c r="O568" s="37"/>
      <c r="AD568" s="38"/>
      <c r="AE568" s="38"/>
      <c r="AF568" s="38"/>
      <c r="AG568" s="38"/>
      <c r="AH568" s="38"/>
      <c r="AJ568" s="39"/>
    </row>
    <row r="569" spans="4:36" s="36" customFormat="1" x14ac:dyDescent="0.25">
      <c r="D569" s="37"/>
      <c r="E569" s="38"/>
      <c r="F569" s="38"/>
      <c r="G569" s="38"/>
      <c r="H569" s="38"/>
      <c r="I569" s="38"/>
      <c r="J569" s="38"/>
      <c r="K569" s="38"/>
      <c r="M569" s="37"/>
      <c r="N569" s="37"/>
      <c r="O569" s="37"/>
      <c r="AD569" s="38"/>
      <c r="AE569" s="38"/>
      <c r="AF569" s="38"/>
      <c r="AG569" s="38"/>
      <c r="AH569" s="38"/>
      <c r="AJ569" s="39"/>
    </row>
    <row r="570" spans="4:36" s="36" customFormat="1" x14ac:dyDescent="0.25">
      <c r="D570" s="37"/>
      <c r="E570" s="38"/>
      <c r="F570" s="38"/>
      <c r="G570" s="38"/>
      <c r="H570" s="38"/>
      <c r="I570" s="38"/>
      <c r="J570" s="38"/>
      <c r="K570" s="38"/>
      <c r="M570" s="37"/>
      <c r="N570" s="37"/>
      <c r="O570" s="37"/>
      <c r="AD570" s="38"/>
      <c r="AE570" s="38"/>
      <c r="AF570" s="38"/>
      <c r="AG570" s="38"/>
      <c r="AH570" s="38"/>
      <c r="AJ570" s="39"/>
    </row>
    <row r="571" spans="4:36" s="36" customFormat="1" x14ac:dyDescent="0.25">
      <c r="D571" s="37"/>
      <c r="E571" s="38"/>
      <c r="F571" s="38"/>
      <c r="G571" s="38"/>
      <c r="H571" s="38"/>
      <c r="I571" s="38"/>
      <c r="J571" s="38"/>
      <c r="K571" s="38"/>
      <c r="M571" s="37"/>
      <c r="N571" s="37"/>
      <c r="O571" s="37"/>
      <c r="AD571" s="38"/>
      <c r="AE571" s="38"/>
      <c r="AF571" s="38"/>
      <c r="AG571" s="38"/>
      <c r="AH571" s="38"/>
      <c r="AJ571" s="39"/>
    </row>
    <row r="572" spans="4:36" s="36" customFormat="1" x14ac:dyDescent="0.25">
      <c r="D572" s="37"/>
      <c r="E572" s="38"/>
      <c r="F572" s="38"/>
      <c r="G572" s="38"/>
      <c r="H572" s="38"/>
      <c r="I572" s="38"/>
      <c r="J572" s="38"/>
      <c r="K572" s="38"/>
      <c r="M572" s="37"/>
      <c r="N572" s="37"/>
      <c r="O572" s="37"/>
      <c r="AD572" s="38"/>
      <c r="AE572" s="38"/>
      <c r="AF572" s="38"/>
      <c r="AG572" s="38"/>
      <c r="AH572" s="38"/>
      <c r="AJ572" s="39"/>
    </row>
    <row r="573" spans="4:36" s="36" customFormat="1" x14ac:dyDescent="0.25">
      <c r="D573" s="37"/>
      <c r="E573" s="38"/>
      <c r="F573" s="38"/>
      <c r="G573" s="38"/>
      <c r="H573" s="38"/>
      <c r="I573" s="38"/>
      <c r="J573" s="38"/>
      <c r="K573" s="38"/>
      <c r="M573" s="37"/>
      <c r="N573" s="37"/>
      <c r="O573" s="37"/>
      <c r="AD573" s="38"/>
      <c r="AE573" s="38"/>
      <c r="AF573" s="38"/>
      <c r="AG573" s="38"/>
      <c r="AH573" s="38"/>
      <c r="AJ573" s="39"/>
    </row>
    <row r="574" spans="4:36" s="36" customFormat="1" x14ac:dyDescent="0.25">
      <c r="D574" s="37"/>
      <c r="E574" s="38"/>
      <c r="F574" s="38"/>
      <c r="G574" s="38"/>
      <c r="H574" s="38"/>
      <c r="I574" s="38"/>
      <c r="J574" s="38"/>
      <c r="K574" s="38"/>
      <c r="M574" s="37"/>
      <c r="N574" s="37"/>
      <c r="O574" s="37"/>
      <c r="AD574" s="38"/>
      <c r="AE574" s="38"/>
      <c r="AF574" s="38"/>
      <c r="AG574" s="38"/>
      <c r="AH574" s="38"/>
      <c r="AJ574" s="39"/>
    </row>
    <row r="575" spans="4:36" s="36" customFormat="1" x14ac:dyDescent="0.25">
      <c r="D575" s="37"/>
      <c r="E575" s="38"/>
      <c r="F575" s="38"/>
      <c r="G575" s="38"/>
      <c r="H575" s="38"/>
      <c r="I575" s="38"/>
      <c r="J575" s="38"/>
      <c r="K575" s="38"/>
      <c r="M575" s="37"/>
      <c r="N575" s="37"/>
      <c r="O575" s="37"/>
      <c r="AD575" s="38"/>
      <c r="AE575" s="38"/>
      <c r="AF575" s="38"/>
      <c r="AG575" s="38"/>
      <c r="AH575" s="38"/>
      <c r="AJ575" s="39"/>
    </row>
    <row r="576" spans="4:36" s="36" customFormat="1" x14ac:dyDescent="0.25">
      <c r="D576" s="37"/>
      <c r="E576" s="38"/>
      <c r="F576" s="38"/>
      <c r="G576" s="38"/>
      <c r="H576" s="38"/>
      <c r="I576" s="38"/>
      <c r="J576" s="38"/>
      <c r="K576" s="38"/>
      <c r="M576" s="37"/>
      <c r="N576" s="37"/>
      <c r="O576" s="37"/>
      <c r="AD576" s="38"/>
      <c r="AE576" s="38"/>
      <c r="AF576" s="38"/>
      <c r="AG576" s="38"/>
      <c r="AH576" s="38"/>
      <c r="AJ576" s="39"/>
    </row>
    <row r="577" spans="4:36" s="36" customFormat="1" x14ac:dyDescent="0.25">
      <c r="D577" s="37"/>
      <c r="E577" s="38"/>
      <c r="F577" s="38"/>
      <c r="G577" s="38"/>
      <c r="H577" s="38"/>
      <c r="I577" s="38"/>
      <c r="J577" s="38"/>
      <c r="K577" s="38"/>
      <c r="M577" s="37"/>
      <c r="N577" s="37"/>
      <c r="O577" s="37"/>
      <c r="AD577" s="38"/>
      <c r="AE577" s="38"/>
      <c r="AF577" s="38"/>
      <c r="AG577" s="38"/>
      <c r="AH577" s="38"/>
      <c r="AJ577" s="39"/>
    </row>
    <row r="578" spans="4:36" s="36" customFormat="1" x14ac:dyDescent="0.25">
      <c r="D578" s="37"/>
      <c r="E578" s="38"/>
      <c r="F578" s="38"/>
      <c r="G578" s="38"/>
      <c r="H578" s="38"/>
      <c r="I578" s="38"/>
      <c r="J578" s="38"/>
      <c r="K578" s="38"/>
      <c r="M578" s="37"/>
      <c r="N578" s="37"/>
      <c r="O578" s="37"/>
      <c r="AD578" s="38"/>
      <c r="AE578" s="38"/>
      <c r="AF578" s="38"/>
      <c r="AG578" s="38"/>
      <c r="AH578" s="38"/>
      <c r="AJ578" s="39"/>
    </row>
    <row r="579" spans="4:36" s="36" customFormat="1" x14ac:dyDescent="0.25">
      <c r="D579" s="37"/>
      <c r="E579" s="38"/>
      <c r="F579" s="38"/>
      <c r="G579" s="38"/>
      <c r="H579" s="38"/>
      <c r="I579" s="38"/>
      <c r="J579" s="38"/>
      <c r="K579" s="38"/>
      <c r="M579" s="37"/>
      <c r="N579" s="37"/>
      <c r="O579" s="37"/>
      <c r="AD579" s="38"/>
      <c r="AE579" s="38"/>
      <c r="AF579" s="38"/>
      <c r="AG579" s="38"/>
      <c r="AH579" s="38"/>
      <c r="AJ579" s="39"/>
    </row>
    <row r="580" spans="4:36" s="36" customFormat="1" x14ac:dyDescent="0.25">
      <c r="D580" s="37"/>
      <c r="E580" s="38"/>
      <c r="F580" s="38"/>
      <c r="G580" s="38"/>
      <c r="H580" s="38"/>
      <c r="I580" s="38"/>
      <c r="J580" s="38"/>
      <c r="K580" s="38"/>
      <c r="M580" s="37"/>
      <c r="N580" s="37"/>
      <c r="O580" s="37"/>
      <c r="AD580" s="38"/>
      <c r="AE580" s="38"/>
      <c r="AF580" s="38"/>
      <c r="AG580" s="38"/>
      <c r="AH580" s="38"/>
      <c r="AJ580" s="39"/>
    </row>
    <row r="581" spans="4:36" s="36" customFormat="1" x14ac:dyDescent="0.25">
      <c r="D581" s="37"/>
      <c r="E581" s="38"/>
      <c r="F581" s="38"/>
      <c r="G581" s="38"/>
      <c r="H581" s="38"/>
      <c r="I581" s="38"/>
      <c r="J581" s="38"/>
      <c r="K581" s="38"/>
      <c r="M581" s="37"/>
      <c r="N581" s="37"/>
      <c r="O581" s="37"/>
      <c r="AD581" s="38"/>
      <c r="AE581" s="38"/>
      <c r="AF581" s="38"/>
      <c r="AG581" s="38"/>
      <c r="AH581" s="38"/>
      <c r="AJ581" s="39"/>
    </row>
    <row r="582" spans="4:36" s="36" customFormat="1" x14ac:dyDescent="0.25">
      <c r="D582" s="37"/>
      <c r="E582" s="38"/>
      <c r="F582" s="38"/>
      <c r="G582" s="38"/>
      <c r="H582" s="38"/>
      <c r="I582" s="38"/>
      <c r="J582" s="38"/>
      <c r="K582" s="38"/>
      <c r="M582" s="37"/>
      <c r="N582" s="37"/>
      <c r="O582" s="37"/>
      <c r="AD582" s="38"/>
      <c r="AE582" s="38"/>
      <c r="AF582" s="38"/>
      <c r="AG582" s="38"/>
      <c r="AH582" s="38"/>
      <c r="AJ582" s="39"/>
    </row>
    <row r="583" spans="4:36" s="36" customFormat="1" x14ac:dyDescent="0.25">
      <c r="D583" s="37"/>
      <c r="E583" s="38"/>
      <c r="F583" s="38"/>
      <c r="G583" s="38"/>
      <c r="H583" s="38"/>
      <c r="I583" s="38"/>
      <c r="J583" s="38"/>
      <c r="K583" s="38"/>
      <c r="M583" s="37"/>
      <c r="N583" s="37"/>
      <c r="O583" s="37"/>
      <c r="AD583" s="38"/>
      <c r="AE583" s="38"/>
      <c r="AF583" s="38"/>
      <c r="AG583" s="38"/>
      <c r="AH583" s="38"/>
      <c r="AJ583" s="39"/>
    </row>
    <row r="584" spans="4:36" s="36" customFormat="1" x14ac:dyDescent="0.25">
      <c r="D584" s="37"/>
      <c r="E584" s="38"/>
      <c r="F584" s="38"/>
      <c r="G584" s="38"/>
      <c r="H584" s="38"/>
      <c r="I584" s="38"/>
      <c r="J584" s="38"/>
      <c r="K584" s="38"/>
      <c r="M584" s="37"/>
      <c r="N584" s="37"/>
      <c r="O584" s="37"/>
      <c r="AD584" s="38"/>
      <c r="AE584" s="38"/>
      <c r="AF584" s="38"/>
      <c r="AG584" s="38"/>
      <c r="AH584" s="38"/>
      <c r="AJ584" s="39"/>
    </row>
    <row r="585" spans="4:36" s="36" customFormat="1" x14ac:dyDescent="0.25">
      <c r="D585" s="37"/>
      <c r="E585" s="38"/>
      <c r="F585" s="38"/>
      <c r="G585" s="38"/>
      <c r="H585" s="38"/>
      <c r="I585" s="38"/>
      <c r="J585" s="38"/>
      <c r="K585" s="38"/>
      <c r="M585" s="37"/>
      <c r="N585" s="37"/>
      <c r="O585" s="37"/>
      <c r="AD585" s="38"/>
      <c r="AE585" s="38"/>
      <c r="AF585" s="38"/>
      <c r="AG585" s="38"/>
      <c r="AH585" s="38"/>
      <c r="AJ585" s="39"/>
    </row>
    <row r="586" spans="4:36" s="36" customFormat="1" x14ac:dyDescent="0.25">
      <c r="D586" s="37"/>
      <c r="E586" s="38"/>
      <c r="F586" s="38"/>
      <c r="G586" s="38"/>
      <c r="H586" s="38"/>
      <c r="I586" s="38"/>
      <c r="J586" s="38"/>
      <c r="K586" s="38"/>
      <c r="M586" s="37"/>
      <c r="N586" s="37"/>
      <c r="O586" s="37"/>
      <c r="AD586" s="38"/>
      <c r="AE586" s="38"/>
      <c r="AF586" s="38"/>
      <c r="AG586" s="38"/>
      <c r="AH586" s="38"/>
      <c r="AJ586" s="39"/>
    </row>
    <row r="587" spans="4:36" s="36" customFormat="1" x14ac:dyDescent="0.25">
      <c r="D587" s="37"/>
      <c r="E587" s="38"/>
      <c r="F587" s="38"/>
      <c r="G587" s="38"/>
      <c r="H587" s="38"/>
      <c r="I587" s="38"/>
      <c r="J587" s="38"/>
      <c r="K587" s="38"/>
      <c r="M587" s="37"/>
      <c r="N587" s="37"/>
      <c r="O587" s="37"/>
      <c r="AD587" s="38"/>
      <c r="AE587" s="38"/>
      <c r="AF587" s="38"/>
      <c r="AG587" s="38"/>
      <c r="AH587" s="38"/>
      <c r="AJ587" s="39"/>
    </row>
    <row r="588" spans="4:36" s="36" customFormat="1" x14ac:dyDescent="0.25">
      <c r="D588" s="37"/>
      <c r="E588" s="38"/>
      <c r="F588" s="38"/>
      <c r="G588" s="38"/>
      <c r="H588" s="38"/>
      <c r="I588" s="38"/>
      <c r="J588" s="38"/>
      <c r="K588" s="38"/>
      <c r="M588" s="37"/>
      <c r="N588" s="37"/>
      <c r="O588" s="37"/>
      <c r="AD588" s="38"/>
      <c r="AE588" s="38"/>
      <c r="AF588" s="38"/>
      <c r="AG588" s="38"/>
      <c r="AH588" s="38"/>
      <c r="AJ588" s="39"/>
    </row>
    <row r="589" spans="4:36" s="36" customFormat="1" x14ac:dyDescent="0.25">
      <c r="D589" s="37"/>
      <c r="E589" s="38"/>
      <c r="F589" s="38"/>
      <c r="G589" s="38"/>
      <c r="H589" s="38"/>
      <c r="I589" s="38"/>
      <c r="J589" s="38"/>
      <c r="K589" s="38"/>
      <c r="M589" s="37"/>
      <c r="N589" s="37"/>
      <c r="O589" s="37"/>
      <c r="AD589" s="38"/>
      <c r="AE589" s="38"/>
      <c r="AF589" s="38"/>
      <c r="AG589" s="38"/>
      <c r="AH589" s="38"/>
      <c r="AJ589" s="39"/>
    </row>
    <row r="590" spans="4:36" s="36" customFormat="1" x14ac:dyDescent="0.25">
      <c r="D590" s="37"/>
      <c r="E590" s="38"/>
      <c r="F590" s="38"/>
      <c r="G590" s="38"/>
      <c r="H590" s="38"/>
      <c r="I590" s="38"/>
      <c r="J590" s="38"/>
      <c r="K590" s="38"/>
      <c r="M590" s="37"/>
      <c r="N590" s="37"/>
      <c r="O590" s="37"/>
      <c r="AD590" s="38"/>
      <c r="AE590" s="38"/>
      <c r="AF590" s="38"/>
      <c r="AG590" s="38"/>
      <c r="AH590" s="38"/>
      <c r="AJ590" s="39"/>
    </row>
    <row r="591" spans="4:36" s="36" customFormat="1" x14ac:dyDescent="0.25">
      <c r="D591" s="37"/>
      <c r="E591" s="38"/>
      <c r="F591" s="38"/>
      <c r="G591" s="38"/>
      <c r="H591" s="38"/>
      <c r="I591" s="38"/>
      <c r="J591" s="38"/>
      <c r="K591" s="38"/>
      <c r="M591" s="37"/>
      <c r="N591" s="37"/>
      <c r="O591" s="37"/>
      <c r="AD591" s="38"/>
      <c r="AE591" s="38"/>
      <c r="AF591" s="38"/>
      <c r="AG591" s="38"/>
      <c r="AH591" s="38"/>
      <c r="AJ591" s="39"/>
    </row>
    <row r="592" spans="4:36" s="36" customFormat="1" x14ac:dyDescent="0.25">
      <c r="D592" s="37"/>
      <c r="E592" s="38"/>
      <c r="F592" s="38"/>
      <c r="G592" s="38"/>
      <c r="H592" s="38"/>
      <c r="I592" s="38"/>
      <c r="J592" s="38"/>
      <c r="K592" s="38"/>
      <c r="M592" s="37"/>
      <c r="N592" s="37"/>
      <c r="O592" s="37"/>
      <c r="AD592" s="38"/>
      <c r="AE592" s="38"/>
      <c r="AF592" s="38"/>
      <c r="AG592" s="38"/>
      <c r="AH592" s="38"/>
      <c r="AJ592" s="39"/>
    </row>
    <row r="593" spans="4:36" s="36" customFormat="1" x14ac:dyDescent="0.25">
      <c r="D593" s="37"/>
      <c r="E593" s="38"/>
      <c r="F593" s="38"/>
      <c r="G593" s="38"/>
      <c r="H593" s="38"/>
      <c r="I593" s="38"/>
      <c r="J593" s="38"/>
      <c r="K593" s="38"/>
      <c r="M593" s="37"/>
      <c r="N593" s="37"/>
      <c r="O593" s="37"/>
      <c r="AD593" s="38"/>
      <c r="AE593" s="38"/>
      <c r="AF593" s="38"/>
      <c r="AG593" s="38"/>
      <c r="AH593" s="38"/>
      <c r="AJ593" s="39"/>
    </row>
    <row r="594" spans="4:36" s="36" customFormat="1" x14ac:dyDescent="0.25">
      <c r="D594" s="37"/>
      <c r="E594" s="38"/>
      <c r="F594" s="38"/>
      <c r="G594" s="38"/>
      <c r="H594" s="38"/>
      <c r="I594" s="38"/>
      <c r="J594" s="38"/>
      <c r="K594" s="38"/>
      <c r="M594" s="37"/>
      <c r="N594" s="37"/>
      <c r="O594" s="37"/>
      <c r="AD594" s="38"/>
      <c r="AE594" s="38"/>
      <c r="AF594" s="38"/>
      <c r="AG594" s="38"/>
      <c r="AH594" s="38"/>
      <c r="AJ594" s="39"/>
    </row>
    <row r="595" spans="4:36" s="36" customFormat="1" x14ac:dyDescent="0.25">
      <c r="D595" s="37"/>
      <c r="E595" s="38"/>
      <c r="F595" s="38"/>
      <c r="G595" s="38"/>
      <c r="H595" s="38"/>
      <c r="I595" s="38"/>
      <c r="J595" s="38"/>
      <c r="K595" s="38"/>
      <c r="M595" s="37"/>
      <c r="N595" s="37"/>
      <c r="O595" s="37"/>
      <c r="AD595" s="38"/>
      <c r="AE595" s="38"/>
      <c r="AF595" s="38"/>
      <c r="AG595" s="38"/>
      <c r="AH595" s="38"/>
      <c r="AJ595" s="39"/>
    </row>
    <row r="596" spans="4:36" s="36" customFormat="1" x14ac:dyDescent="0.25">
      <c r="D596" s="37"/>
      <c r="E596" s="38"/>
      <c r="F596" s="38"/>
      <c r="G596" s="38"/>
      <c r="H596" s="38"/>
      <c r="I596" s="38"/>
      <c r="J596" s="38"/>
      <c r="K596" s="38"/>
      <c r="M596" s="37"/>
      <c r="N596" s="37"/>
      <c r="O596" s="37"/>
      <c r="AD596" s="38"/>
      <c r="AE596" s="38"/>
      <c r="AF596" s="38"/>
      <c r="AG596" s="38"/>
      <c r="AH596" s="38"/>
      <c r="AJ596" s="39"/>
    </row>
    <row r="597" spans="4:36" s="36" customFormat="1" x14ac:dyDescent="0.25">
      <c r="D597" s="37"/>
      <c r="E597" s="38"/>
      <c r="F597" s="38"/>
      <c r="G597" s="38"/>
      <c r="H597" s="38"/>
      <c r="I597" s="38"/>
      <c r="J597" s="38"/>
      <c r="K597" s="38"/>
      <c r="M597" s="37"/>
      <c r="N597" s="37"/>
      <c r="O597" s="37"/>
      <c r="AD597" s="38"/>
      <c r="AE597" s="38"/>
      <c r="AF597" s="38"/>
      <c r="AG597" s="38"/>
      <c r="AH597" s="38"/>
      <c r="AJ597" s="39"/>
    </row>
    <row r="598" spans="4:36" s="36" customFormat="1" x14ac:dyDescent="0.25">
      <c r="D598" s="37"/>
      <c r="E598" s="38"/>
      <c r="F598" s="38"/>
      <c r="G598" s="38"/>
      <c r="H598" s="38"/>
      <c r="I598" s="38"/>
      <c r="J598" s="38"/>
      <c r="K598" s="38"/>
      <c r="M598" s="37"/>
      <c r="N598" s="37"/>
      <c r="O598" s="37"/>
      <c r="AD598" s="38"/>
      <c r="AE598" s="38"/>
      <c r="AF598" s="38"/>
      <c r="AG598" s="38"/>
      <c r="AH598" s="38"/>
      <c r="AJ598" s="39"/>
    </row>
    <row r="599" spans="4:36" s="36" customFormat="1" x14ac:dyDescent="0.25">
      <c r="D599" s="37"/>
      <c r="E599" s="38"/>
      <c r="F599" s="38"/>
      <c r="G599" s="38"/>
      <c r="H599" s="38"/>
      <c r="I599" s="38"/>
      <c r="J599" s="38"/>
      <c r="K599" s="38"/>
      <c r="M599" s="37"/>
      <c r="N599" s="37"/>
      <c r="O599" s="37"/>
      <c r="AD599" s="38"/>
      <c r="AE599" s="38"/>
      <c r="AF599" s="38"/>
      <c r="AG599" s="38"/>
      <c r="AH599" s="38"/>
      <c r="AJ599" s="39"/>
    </row>
    <row r="600" spans="4:36" s="36" customFormat="1" x14ac:dyDescent="0.25">
      <c r="D600" s="37"/>
      <c r="E600" s="38"/>
      <c r="F600" s="38"/>
      <c r="G600" s="38"/>
      <c r="H600" s="38"/>
      <c r="I600" s="38"/>
      <c r="J600" s="38"/>
      <c r="K600" s="38"/>
      <c r="M600" s="37"/>
      <c r="N600" s="37"/>
      <c r="O600" s="37"/>
      <c r="AD600" s="38"/>
      <c r="AE600" s="38"/>
      <c r="AF600" s="38"/>
      <c r="AG600" s="38"/>
      <c r="AH600" s="38"/>
      <c r="AJ600" s="39"/>
    </row>
    <row r="601" spans="4:36" s="36" customFormat="1" x14ac:dyDescent="0.25">
      <c r="D601" s="37"/>
      <c r="E601" s="38"/>
      <c r="F601" s="38"/>
      <c r="G601" s="38"/>
      <c r="H601" s="38"/>
      <c r="I601" s="38"/>
      <c r="J601" s="38"/>
      <c r="K601" s="38"/>
      <c r="M601" s="37"/>
      <c r="N601" s="37"/>
      <c r="O601" s="37"/>
      <c r="AD601" s="38"/>
      <c r="AE601" s="38"/>
      <c r="AF601" s="38"/>
      <c r="AG601" s="38"/>
      <c r="AH601" s="38"/>
      <c r="AJ601" s="39"/>
    </row>
    <row r="602" spans="4:36" s="36" customFormat="1" x14ac:dyDescent="0.25">
      <c r="D602" s="37"/>
      <c r="E602" s="38"/>
      <c r="F602" s="38"/>
      <c r="G602" s="38"/>
      <c r="H602" s="38"/>
      <c r="I602" s="38"/>
      <c r="J602" s="38"/>
      <c r="K602" s="38"/>
      <c r="M602" s="37"/>
      <c r="N602" s="37"/>
      <c r="O602" s="37"/>
      <c r="AD602" s="38"/>
      <c r="AE602" s="38"/>
      <c r="AF602" s="38"/>
      <c r="AG602" s="38"/>
      <c r="AH602" s="38"/>
      <c r="AJ602" s="39"/>
    </row>
    <row r="603" spans="4:36" s="36" customFormat="1" x14ac:dyDescent="0.25">
      <c r="D603" s="37"/>
      <c r="E603" s="38"/>
      <c r="F603" s="38"/>
      <c r="G603" s="38"/>
      <c r="H603" s="38"/>
      <c r="I603" s="38"/>
      <c r="J603" s="38"/>
      <c r="K603" s="38"/>
      <c r="M603" s="37"/>
      <c r="N603" s="37"/>
      <c r="O603" s="37"/>
      <c r="AD603" s="38"/>
      <c r="AE603" s="38"/>
      <c r="AF603" s="38"/>
      <c r="AG603" s="38"/>
      <c r="AH603" s="38"/>
      <c r="AJ603" s="39"/>
    </row>
    <row r="604" spans="4:36" s="36" customFormat="1" x14ac:dyDescent="0.25">
      <c r="D604" s="37"/>
      <c r="E604" s="38"/>
      <c r="F604" s="38"/>
      <c r="G604" s="38"/>
      <c r="H604" s="38"/>
      <c r="I604" s="38"/>
      <c r="J604" s="38"/>
      <c r="K604" s="38"/>
      <c r="M604" s="37"/>
      <c r="N604" s="37"/>
      <c r="O604" s="37"/>
      <c r="AD604" s="38"/>
      <c r="AE604" s="38"/>
      <c r="AF604" s="38"/>
      <c r="AG604" s="38"/>
      <c r="AH604" s="38"/>
      <c r="AJ604" s="39"/>
    </row>
    <row r="605" spans="4:36" s="36" customFormat="1" x14ac:dyDescent="0.25">
      <c r="D605" s="37"/>
      <c r="E605" s="38"/>
      <c r="F605" s="38"/>
      <c r="G605" s="38"/>
      <c r="H605" s="38"/>
      <c r="I605" s="38"/>
      <c r="J605" s="38"/>
      <c r="K605" s="38"/>
      <c r="M605" s="37"/>
      <c r="N605" s="37"/>
      <c r="O605" s="37"/>
      <c r="AD605" s="38"/>
      <c r="AE605" s="38"/>
      <c r="AF605" s="38"/>
      <c r="AG605" s="38"/>
      <c r="AH605" s="38"/>
      <c r="AJ605" s="39"/>
    </row>
    <row r="606" spans="4:36" s="36" customFormat="1" x14ac:dyDescent="0.25">
      <c r="D606" s="37"/>
      <c r="E606" s="38"/>
      <c r="F606" s="38"/>
      <c r="G606" s="38"/>
      <c r="H606" s="38"/>
      <c r="I606" s="38"/>
      <c r="J606" s="38"/>
      <c r="K606" s="38"/>
      <c r="M606" s="37"/>
      <c r="N606" s="37"/>
      <c r="O606" s="37"/>
      <c r="AD606" s="38"/>
      <c r="AE606" s="38"/>
      <c r="AF606" s="38"/>
      <c r="AG606" s="38"/>
      <c r="AH606" s="38"/>
      <c r="AJ606" s="39"/>
    </row>
    <row r="607" spans="4:36" s="36" customFormat="1" x14ac:dyDescent="0.25">
      <c r="D607" s="37"/>
      <c r="E607" s="38"/>
      <c r="F607" s="38"/>
      <c r="G607" s="38"/>
      <c r="H607" s="38"/>
      <c r="I607" s="38"/>
      <c r="J607" s="38"/>
      <c r="K607" s="38"/>
      <c r="M607" s="37"/>
      <c r="N607" s="37"/>
      <c r="O607" s="37"/>
      <c r="AD607" s="38"/>
      <c r="AE607" s="38"/>
      <c r="AF607" s="38"/>
      <c r="AG607" s="38"/>
      <c r="AH607" s="38"/>
      <c r="AJ607" s="39"/>
    </row>
    <row r="608" spans="4:36" s="36" customFormat="1" x14ac:dyDescent="0.25">
      <c r="D608" s="37"/>
      <c r="E608" s="38"/>
      <c r="F608" s="38"/>
      <c r="G608" s="38"/>
      <c r="H608" s="38"/>
      <c r="I608" s="38"/>
      <c r="J608" s="38"/>
      <c r="K608" s="38"/>
      <c r="M608" s="37"/>
      <c r="N608" s="37"/>
      <c r="O608" s="37"/>
      <c r="AD608" s="38"/>
      <c r="AE608" s="38"/>
      <c r="AF608" s="38"/>
      <c r="AG608" s="38"/>
      <c r="AH608" s="38"/>
      <c r="AJ608" s="39"/>
    </row>
    <row r="609" spans="4:36" s="36" customFormat="1" x14ac:dyDescent="0.25">
      <c r="D609" s="37"/>
      <c r="E609" s="38"/>
      <c r="F609" s="38"/>
      <c r="G609" s="38"/>
      <c r="H609" s="38"/>
      <c r="I609" s="38"/>
      <c r="J609" s="38"/>
      <c r="K609" s="38"/>
      <c r="M609" s="37"/>
      <c r="N609" s="37"/>
      <c r="O609" s="37"/>
      <c r="AD609" s="38"/>
      <c r="AE609" s="38"/>
      <c r="AF609" s="38"/>
      <c r="AG609" s="38"/>
      <c r="AH609" s="38"/>
      <c r="AJ609" s="39"/>
    </row>
    <row r="610" spans="4:36" s="36" customFormat="1" x14ac:dyDescent="0.25">
      <c r="D610" s="37"/>
      <c r="E610" s="38"/>
      <c r="F610" s="38"/>
      <c r="G610" s="38"/>
      <c r="H610" s="38"/>
      <c r="I610" s="38"/>
      <c r="J610" s="38"/>
      <c r="K610" s="38"/>
      <c r="M610" s="37"/>
      <c r="N610" s="37"/>
      <c r="O610" s="37"/>
      <c r="AD610" s="38"/>
      <c r="AE610" s="38"/>
      <c r="AF610" s="38"/>
      <c r="AG610" s="38"/>
      <c r="AH610" s="38"/>
      <c r="AJ610" s="39"/>
    </row>
    <row r="611" spans="4:36" s="36" customFormat="1" x14ac:dyDescent="0.25">
      <c r="D611" s="37"/>
      <c r="E611" s="38"/>
      <c r="F611" s="38"/>
      <c r="G611" s="38"/>
      <c r="H611" s="38"/>
      <c r="I611" s="38"/>
      <c r="J611" s="38"/>
      <c r="K611" s="38"/>
      <c r="M611" s="37"/>
      <c r="N611" s="37"/>
      <c r="O611" s="37"/>
      <c r="AD611" s="38"/>
      <c r="AE611" s="38"/>
      <c r="AF611" s="38"/>
      <c r="AG611" s="38"/>
      <c r="AH611" s="38"/>
      <c r="AJ611" s="39"/>
    </row>
    <row r="612" spans="4:36" s="36" customFormat="1" x14ac:dyDescent="0.25">
      <c r="D612" s="37"/>
      <c r="E612" s="38"/>
      <c r="F612" s="38"/>
      <c r="G612" s="38"/>
      <c r="H612" s="38"/>
      <c r="I612" s="38"/>
      <c r="J612" s="38"/>
      <c r="K612" s="38"/>
      <c r="M612" s="37"/>
      <c r="N612" s="37"/>
      <c r="O612" s="37"/>
      <c r="AD612" s="38"/>
      <c r="AE612" s="38"/>
      <c r="AF612" s="38"/>
      <c r="AG612" s="38"/>
      <c r="AH612" s="38"/>
      <c r="AJ612" s="39"/>
    </row>
    <row r="613" spans="4:36" s="36" customFormat="1" x14ac:dyDescent="0.25">
      <c r="D613" s="37"/>
      <c r="E613" s="38"/>
      <c r="F613" s="38"/>
      <c r="G613" s="38"/>
      <c r="H613" s="38"/>
      <c r="I613" s="38"/>
      <c r="J613" s="38"/>
      <c r="K613" s="38"/>
      <c r="M613" s="37"/>
      <c r="N613" s="37"/>
      <c r="O613" s="37"/>
      <c r="AD613" s="38"/>
      <c r="AE613" s="38"/>
      <c r="AF613" s="38"/>
      <c r="AG613" s="38"/>
      <c r="AH613" s="38"/>
      <c r="AJ613" s="39"/>
    </row>
    <row r="614" spans="4:36" s="36" customFormat="1" x14ac:dyDescent="0.25">
      <c r="D614" s="37"/>
      <c r="E614" s="38"/>
      <c r="F614" s="38"/>
      <c r="G614" s="38"/>
      <c r="H614" s="38"/>
      <c r="I614" s="38"/>
      <c r="J614" s="38"/>
      <c r="K614" s="38"/>
      <c r="M614" s="37"/>
      <c r="N614" s="37"/>
      <c r="O614" s="37"/>
      <c r="AD614" s="38"/>
      <c r="AE614" s="38"/>
      <c r="AF614" s="38"/>
      <c r="AG614" s="38"/>
      <c r="AH614" s="38"/>
      <c r="AJ614" s="39"/>
    </row>
    <row r="615" spans="4:36" s="36" customFormat="1" x14ac:dyDescent="0.25">
      <c r="D615" s="37"/>
      <c r="E615" s="38"/>
      <c r="F615" s="38"/>
      <c r="G615" s="38"/>
      <c r="H615" s="38"/>
      <c r="I615" s="38"/>
      <c r="J615" s="38"/>
      <c r="K615" s="38"/>
      <c r="M615" s="37"/>
      <c r="N615" s="37"/>
      <c r="O615" s="37"/>
      <c r="AD615" s="38"/>
      <c r="AE615" s="38"/>
      <c r="AF615" s="38"/>
      <c r="AG615" s="38"/>
      <c r="AH615" s="38"/>
      <c r="AJ615" s="39"/>
    </row>
    <row r="616" spans="4:36" s="36" customFormat="1" x14ac:dyDescent="0.25">
      <c r="D616" s="37"/>
      <c r="E616" s="38"/>
      <c r="F616" s="38"/>
      <c r="G616" s="38"/>
      <c r="H616" s="38"/>
      <c r="I616" s="38"/>
      <c r="J616" s="38"/>
      <c r="K616" s="38"/>
      <c r="M616" s="37"/>
      <c r="N616" s="37"/>
      <c r="O616" s="37"/>
      <c r="AD616" s="38"/>
      <c r="AE616" s="38"/>
      <c r="AF616" s="38"/>
      <c r="AG616" s="38"/>
      <c r="AH616" s="38"/>
      <c r="AJ616" s="39"/>
    </row>
    <row r="617" spans="4:36" s="36" customFormat="1" x14ac:dyDescent="0.25">
      <c r="D617" s="37"/>
      <c r="E617" s="38"/>
      <c r="F617" s="38"/>
      <c r="G617" s="38"/>
      <c r="H617" s="38"/>
      <c r="I617" s="38"/>
      <c r="J617" s="38"/>
      <c r="K617" s="38"/>
      <c r="M617" s="37"/>
      <c r="N617" s="37"/>
      <c r="O617" s="37"/>
      <c r="AD617" s="38"/>
      <c r="AE617" s="38"/>
      <c r="AF617" s="38"/>
      <c r="AG617" s="38"/>
      <c r="AH617" s="38"/>
      <c r="AJ617" s="39"/>
    </row>
    <row r="618" spans="4:36" s="36" customFormat="1" x14ac:dyDescent="0.25">
      <c r="D618" s="37"/>
      <c r="E618" s="38"/>
      <c r="F618" s="38"/>
      <c r="G618" s="38"/>
      <c r="H618" s="38"/>
      <c r="I618" s="38"/>
      <c r="J618" s="38"/>
      <c r="K618" s="38"/>
      <c r="M618" s="37"/>
      <c r="N618" s="37"/>
      <c r="O618" s="37"/>
      <c r="AD618" s="38"/>
      <c r="AE618" s="38"/>
      <c r="AF618" s="38"/>
      <c r="AG618" s="38"/>
      <c r="AH618" s="38"/>
      <c r="AJ618" s="39"/>
    </row>
    <row r="619" spans="4:36" s="36" customFormat="1" x14ac:dyDescent="0.25">
      <c r="D619" s="37"/>
      <c r="E619" s="38"/>
      <c r="F619" s="38"/>
      <c r="G619" s="38"/>
      <c r="H619" s="38"/>
      <c r="I619" s="38"/>
      <c r="J619" s="38"/>
      <c r="K619" s="38"/>
      <c r="M619" s="37"/>
      <c r="N619" s="37"/>
      <c r="O619" s="37"/>
      <c r="AD619" s="38"/>
      <c r="AE619" s="38"/>
      <c r="AF619" s="38"/>
      <c r="AG619" s="38"/>
      <c r="AH619" s="38"/>
      <c r="AJ619" s="39"/>
    </row>
    <row r="620" spans="4:36" s="36" customFormat="1" x14ac:dyDescent="0.25">
      <c r="D620" s="37"/>
      <c r="E620" s="38"/>
      <c r="F620" s="38"/>
      <c r="G620" s="38"/>
      <c r="H620" s="38"/>
      <c r="I620" s="38"/>
      <c r="J620" s="38"/>
      <c r="K620" s="38"/>
      <c r="M620" s="37"/>
      <c r="N620" s="37"/>
      <c r="O620" s="37"/>
      <c r="AD620" s="38"/>
      <c r="AE620" s="38"/>
      <c r="AF620" s="38"/>
      <c r="AG620" s="38"/>
      <c r="AH620" s="38"/>
      <c r="AJ620" s="39"/>
    </row>
    <row r="621" spans="4:36" s="36" customFormat="1" x14ac:dyDescent="0.25">
      <c r="D621" s="37"/>
      <c r="E621" s="38"/>
      <c r="F621" s="38"/>
      <c r="G621" s="38"/>
      <c r="H621" s="38"/>
      <c r="I621" s="38"/>
      <c r="J621" s="38"/>
      <c r="K621" s="38"/>
      <c r="M621" s="37"/>
      <c r="N621" s="37"/>
      <c r="O621" s="37"/>
      <c r="AD621" s="38"/>
      <c r="AE621" s="38"/>
      <c r="AF621" s="38"/>
      <c r="AG621" s="38"/>
      <c r="AH621" s="38"/>
      <c r="AJ621" s="39"/>
    </row>
    <row r="622" spans="4:36" s="36" customFormat="1" x14ac:dyDescent="0.25">
      <c r="D622" s="37"/>
      <c r="E622" s="38"/>
      <c r="F622" s="38"/>
      <c r="G622" s="38"/>
      <c r="H622" s="38"/>
      <c r="I622" s="38"/>
      <c r="J622" s="38"/>
      <c r="K622" s="38"/>
      <c r="M622" s="37"/>
      <c r="N622" s="37"/>
      <c r="O622" s="37"/>
      <c r="AD622" s="38"/>
      <c r="AE622" s="38"/>
      <c r="AF622" s="38"/>
      <c r="AG622" s="38"/>
      <c r="AH622" s="38"/>
      <c r="AJ622" s="39"/>
    </row>
    <row r="623" spans="4:36" s="36" customFormat="1" x14ac:dyDescent="0.25">
      <c r="D623" s="37"/>
      <c r="E623" s="38"/>
      <c r="F623" s="38"/>
      <c r="G623" s="38"/>
      <c r="H623" s="38"/>
      <c r="I623" s="38"/>
      <c r="J623" s="38"/>
      <c r="K623" s="38"/>
      <c r="M623" s="37"/>
      <c r="N623" s="37"/>
      <c r="O623" s="37"/>
      <c r="AD623" s="38"/>
      <c r="AE623" s="38"/>
      <c r="AF623" s="38"/>
      <c r="AG623" s="38"/>
      <c r="AH623" s="38"/>
      <c r="AJ623" s="39"/>
    </row>
    <row r="624" spans="4:36" s="36" customFormat="1" x14ac:dyDescent="0.25">
      <c r="D624" s="37"/>
      <c r="E624" s="38"/>
      <c r="F624" s="38"/>
      <c r="G624" s="38"/>
      <c r="H624" s="38"/>
      <c r="I624" s="38"/>
      <c r="J624" s="38"/>
      <c r="K624" s="38"/>
      <c r="M624" s="37"/>
      <c r="N624" s="37"/>
      <c r="O624" s="37"/>
      <c r="AD624" s="38"/>
      <c r="AE624" s="38"/>
      <c r="AF624" s="38"/>
      <c r="AG624" s="38"/>
      <c r="AH624" s="38"/>
      <c r="AJ624" s="39"/>
    </row>
    <row r="625" spans="4:36" s="36" customFormat="1" x14ac:dyDescent="0.25">
      <c r="D625" s="37"/>
      <c r="E625" s="38"/>
      <c r="F625" s="38"/>
      <c r="G625" s="38"/>
      <c r="H625" s="38"/>
      <c r="I625" s="38"/>
      <c r="J625" s="38"/>
      <c r="K625" s="38"/>
      <c r="M625" s="37"/>
      <c r="N625" s="37"/>
      <c r="O625" s="37"/>
      <c r="AD625" s="38"/>
      <c r="AE625" s="38"/>
      <c r="AF625" s="38"/>
      <c r="AG625" s="38"/>
      <c r="AH625" s="38"/>
      <c r="AJ625" s="39"/>
    </row>
    <row r="626" spans="4:36" s="36" customFormat="1" x14ac:dyDescent="0.25">
      <c r="D626" s="37"/>
      <c r="E626" s="38"/>
      <c r="F626" s="38"/>
      <c r="G626" s="38"/>
      <c r="H626" s="38"/>
      <c r="I626" s="38"/>
      <c r="J626" s="38"/>
      <c r="K626" s="38"/>
      <c r="M626" s="37"/>
      <c r="N626" s="37"/>
      <c r="O626" s="37"/>
      <c r="AD626" s="38"/>
      <c r="AE626" s="38"/>
      <c r="AF626" s="38"/>
      <c r="AG626" s="38"/>
      <c r="AH626" s="38"/>
      <c r="AJ626" s="39"/>
    </row>
    <row r="627" spans="4:36" s="36" customFormat="1" x14ac:dyDescent="0.25">
      <c r="D627" s="37"/>
      <c r="E627" s="38"/>
      <c r="F627" s="38"/>
      <c r="G627" s="38"/>
      <c r="H627" s="38"/>
      <c r="I627" s="38"/>
      <c r="J627" s="38"/>
      <c r="K627" s="38"/>
      <c r="M627" s="37"/>
      <c r="N627" s="37"/>
      <c r="O627" s="37"/>
      <c r="AD627" s="38"/>
      <c r="AE627" s="38"/>
      <c r="AF627" s="38"/>
      <c r="AG627" s="38"/>
      <c r="AH627" s="38"/>
      <c r="AJ627" s="39"/>
    </row>
    <row r="628" spans="4:36" s="36" customFormat="1" x14ac:dyDescent="0.25">
      <c r="D628" s="37"/>
      <c r="E628" s="38"/>
      <c r="F628" s="38"/>
      <c r="G628" s="38"/>
      <c r="H628" s="38"/>
      <c r="I628" s="38"/>
      <c r="J628" s="38"/>
      <c r="K628" s="38"/>
      <c r="M628" s="37"/>
      <c r="N628" s="37"/>
      <c r="O628" s="37"/>
      <c r="AD628" s="38"/>
      <c r="AE628" s="38"/>
      <c r="AF628" s="38"/>
      <c r="AG628" s="38"/>
      <c r="AH628" s="38"/>
      <c r="AJ628" s="39"/>
    </row>
    <row r="629" spans="4:36" s="36" customFormat="1" x14ac:dyDescent="0.25">
      <c r="D629" s="37"/>
      <c r="E629" s="38"/>
      <c r="F629" s="38"/>
      <c r="G629" s="38"/>
      <c r="H629" s="38"/>
      <c r="I629" s="38"/>
      <c r="J629" s="38"/>
      <c r="K629" s="38"/>
      <c r="M629" s="37"/>
      <c r="N629" s="37"/>
      <c r="O629" s="37"/>
      <c r="AD629" s="38"/>
      <c r="AE629" s="38"/>
      <c r="AF629" s="38"/>
      <c r="AG629" s="38"/>
      <c r="AH629" s="38"/>
      <c r="AJ629" s="39"/>
    </row>
    <row r="630" spans="4:36" s="36" customFormat="1" x14ac:dyDescent="0.25">
      <c r="D630" s="37"/>
      <c r="E630" s="38"/>
      <c r="F630" s="38"/>
      <c r="G630" s="38"/>
      <c r="H630" s="38"/>
      <c r="I630" s="38"/>
      <c r="J630" s="38"/>
      <c r="K630" s="38"/>
      <c r="M630" s="37"/>
      <c r="N630" s="37"/>
      <c r="O630" s="37"/>
      <c r="AD630" s="38"/>
      <c r="AE630" s="38"/>
      <c r="AF630" s="38"/>
      <c r="AG630" s="38"/>
      <c r="AH630" s="38"/>
      <c r="AJ630" s="39"/>
    </row>
    <row r="631" spans="4:36" s="36" customFormat="1" x14ac:dyDescent="0.25">
      <c r="D631" s="37"/>
      <c r="E631" s="38"/>
      <c r="F631" s="38"/>
      <c r="G631" s="38"/>
      <c r="H631" s="38"/>
      <c r="I631" s="38"/>
      <c r="J631" s="38"/>
      <c r="K631" s="38"/>
      <c r="M631" s="37"/>
      <c r="N631" s="37"/>
      <c r="O631" s="37"/>
      <c r="AD631" s="38"/>
      <c r="AE631" s="38"/>
      <c r="AF631" s="38"/>
      <c r="AG631" s="38"/>
      <c r="AH631" s="38"/>
      <c r="AJ631" s="39"/>
    </row>
    <row r="632" spans="4:36" s="36" customFormat="1" x14ac:dyDescent="0.25">
      <c r="D632" s="37"/>
      <c r="E632" s="38"/>
      <c r="F632" s="38"/>
      <c r="G632" s="38"/>
      <c r="H632" s="38"/>
      <c r="I632" s="38"/>
      <c r="J632" s="38"/>
      <c r="K632" s="38"/>
      <c r="M632" s="37"/>
      <c r="N632" s="37"/>
      <c r="O632" s="37"/>
      <c r="AD632" s="38"/>
      <c r="AE632" s="38"/>
      <c r="AF632" s="38"/>
      <c r="AG632" s="38"/>
      <c r="AH632" s="38"/>
      <c r="AJ632" s="39"/>
    </row>
    <row r="633" spans="4:36" s="36" customFormat="1" x14ac:dyDescent="0.25">
      <c r="D633" s="37"/>
      <c r="E633" s="38"/>
      <c r="F633" s="38"/>
      <c r="G633" s="38"/>
      <c r="H633" s="38"/>
      <c r="I633" s="38"/>
      <c r="J633" s="38"/>
      <c r="K633" s="38"/>
      <c r="M633" s="37"/>
      <c r="N633" s="37"/>
      <c r="O633" s="37"/>
      <c r="AD633" s="38"/>
      <c r="AE633" s="38"/>
      <c r="AF633" s="38"/>
      <c r="AG633" s="38"/>
      <c r="AH633" s="38"/>
      <c r="AJ633" s="39"/>
    </row>
    <row r="634" spans="4:36" s="36" customFormat="1" x14ac:dyDescent="0.25">
      <c r="D634" s="37"/>
      <c r="E634" s="38"/>
      <c r="F634" s="38"/>
      <c r="G634" s="38"/>
      <c r="H634" s="38"/>
      <c r="I634" s="38"/>
      <c r="J634" s="38"/>
      <c r="K634" s="38"/>
      <c r="M634" s="37"/>
      <c r="N634" s="37"/>
      <c r="O634" s="37"/>
      <c r="AD634" s="38"/>
      <c r="AE634" s="38"/>
      <c r="AF634" s="38"/>
      <c r="AG634" s="38"/>
      <c r="AH634" s="38"/>
      <c r="AJ634" s="39"/>
    </row>
    <row r="635" spans="4:36" s="36" customFormat="1" x14ac:dyDescent="0.25">
      <c r="D635" s="37"/>
      <c r="E635" s="38"/>
      <c r="F635" s="38"/>
      <c r="G635" s="38"/>
      <c r="H635" s="38"/>
      <c r="I635" s="38"/>
      <c r="J635" s="38"/>
      <c r="K635" s="38"/>
      <c r="M635" s="37"/>
      <c r="N635" s="37"/>
      <c r="O635" s="37"/>
      <c r="AD635" s="38"/>
      <c r="AE635" s="38"/>
      <c r="AF635" s="38"/>
      <c r="AG635" s="38"/>
      <c r="AH635" s="38"/>
      <c r="AJ635" s="39"/>
    </row>
    <row r="636" spans="4:36" s="36" customFormat="1" x14ac:dyDescent="0.25">
      <c r="D636" s="37"/>
      <c r="E636" s="38"/>
      <c r="F636" s="38"/>
      <c r="G636" s="38"/>
      <c r="H636" s="38"/>
      <c r="I636" s="38"/>
      <c r="J636" s="38"/>
      <c r="K636" s="38"/>
      <c r="M636" s="37"/>
      <c r="N636" s="37"/>
      <c r="O636" s="37"/>
      <c r="AD636" s="38"/>
      <c r="AE636" s="38"/>
      <c r="AF636" s="38"/>
      <c r="AG636" s="38"/>
      <c r="AH636" s="38"/>
      <c r="AJ636" s="39"/>
    </row>
    <row r="637" spans="4:36" s="36" customFormat="1" x14ac:dyDescent="0.25">
      <c r="D637" s="37"/>
      <c r="E637" s="38"/>
      <c r="F637" s="38"/>
      <c r="G637" s="38"/>
      <c r="H637" s="38"/>
      <c r="I637" s="38"/>
      <c r="J637" s="38"/>
      <c r="K637" s="38"/>
      <c r="M637" s="37"/>
      <c r="N637" s="37"/>
      <c r="O637" s="37"/>
      <c r="AD637" s="38"/>
      <c r="AE637" s="38"/>
      <c r="AF637" s="38"/>
      <c r="AG637" s="38"/>
      <c r="AH637" s="38"/>
      <c r="AJ637" s="39"/>
    </row>
    <row r="638" spans="4:36" s="36" customFormat="1" x14ac:dyDescent="0.25">
      <c r="D638" s="37"/>
      <c r="E638" s="38"/>
      <c r="F638" s="38"/>
      <c r="G638" s="38"/>
      <c r="H638" s="38"/>
      <c r="I638" s="38"/>
      <c r="J638" s="38"/>
      <c r="K638" s="38"/>
      <c r="M638" s="37"/>
      <c r="N638" s="37"/>
      <c r="O638" s="37"/>
      <c r="AD638" s="38"/>
      <c r="AE638" s="38"/>
      <c r="AF638" s="38"/>
      <c r="AG638" s="38"/>
      <c r="AH638" s="38"/>
      <c r="AJ638" s="39"/>
    </row>
    <row r="639" spans="4:36" s="36" customFormat="1" x14ac:dyDescent="0.25">
      <c r="D639" s="37"/>
      <c r="E639" s="38"/>
      <c r="F639" s="38"/>
      <c r="G639" s="38"/>
      <c r="H639" s="38"/>
      <c r="I639" s="38"/>
      <c r="J639" s="38"/>
      <c r="K639" s="38"/>
      <c r="M639" s="37"/>
      <c r="N639" s="37"/>
      <c r="O639" s="37"/>
      <c r="AD639" s="38"/>
      <c r="AE639" s="38"/>
      <c r="AF639" s="38"/>
      <c r="AG639" s="38"/>
      <c r="AH639" s="38"/>
      <c r="AJ639" s="39"/>
    </row>
    <row r="640" spans="4:36" s="36" customFormat="1" x14ac:dyDescent="0.25">
      <c r="D640" s="37"/>
      <c r="E640" s="38"/>
      <c r="F640" s="38"/>
      <c r="G640" s="38"/>
      <c r="H640" s="38"/>
      <c r="I640" s="38"/>
      <c r="J640" s="38"/>
      <c r="K640" s="38"/>
      <c r="M640" s="37"/>
      <c r="N640" s="37"/>
      <c r="O640" s="37"/>
      <c r="AD640" s="38"/>
      <c r="AE640" s="38"/>
      <c r="AF640" s="38"/>
      <c r="AG640" s="38"/>
      <c r="AH640" s="38"/>
      <c r="AJ640" s="39"/>
    </row>
    <row r="641" spans="4:36" s="36" customFormat="1" x14ac:dyDescent="0.25">
      <c r="D641" s="37"/>
      <c r="E641" s="38"/>
      <c r="F641" s="38"/>
      <c r="G641" s="38"/>
      <c r="H641" s="38"/>
      <c r="I641" s="38"/>
      <c r="J641" s="38"/>
      <c r="K641" s="38"/>
      <c r="M641" s="37"/>
      <c r="N641" s="37"/>
      <c r="O641" s="37"/>
      <c r="AD641" s="38"/>
      <c r="AE641" s="38"/>
      <c r="AF641" s="38"/>
      <c r="AG641" s="38"/>
      <c r="AH641" s="38"/>
      <c r="AJ641" s="39"/>
    </row>
    <row r="642" spans="4:36" s="36" customFormat="1" x14ac:dyDescent="0.25">
      <c r="D642" s="37"/>
      <c r="E642" s="38"/>
      <c r="F642" s="38"/>
      <c r="G642" s="38"/>
      <c r="H642" s="38"/>
      <c r="I642" s="38"/>
      <c r="J642" s="38"/>
      <c r="K642" s="38"/>
      <c r="M642" s="37"/>
      <c r="N642" s="37"/>
      <c r="O642" s="37"/>
      <c r="AD642" s="38"/>
      <c r="AE642" s="38"/>
      <c r="AF642" s="38"/>
      <c r="AG642" s="38"/>
      <c r="AH642" s="38"/>
      <c r="AJ642" s="39"/>
    </row>
    <row r="643" spans="4:36" s="36" customFormat="1" x14ac:dyDescent="0.25">
      <c r="D643" s="37"/>
      <c r="E643" s="38"/>
      <c r="F643" s="38"/>
      <c r="G643" s="38"/>
      <c r="H643" s="38"/>
      <c r="I643" s="38"/>
      <c r="J643" s="38"/>
      <c r="K643" s="38"/>
      <c r="M643" s="37"/>
      <c r="N643" s="37"/>
      <c r="O643" s="37"/>
      <c r="AD643" s="38"/>
      <c r="AE643" s="38"/>
      <c r="AF643" s="38"/>
      <c r="AG643" s="38"/>
      <c r="AH643" s="38"/>
      <c r="AJ643" s="39"/>
    </row>
    <row r="644" spans="4:36" s="36" customFormat="1" x14ac:dyDescent="0.25">
      <c r="D644" s="37"/>
      <c r="E644" s="38"/>
      <c r="F644" s="38"/>
      <c r="G644" s="38"/>
      <c r="H644" s="38"/>
      <c r="I644" s="38"/>
      <c r="J644" s="38"/>
      <c r="K644" s="38"/>
      <c r="M644" s="37"/>
      <c r="N644" s="37"/>
      <c r="O644" s="37"/>
      <c r="AD644" s="38"/>
      <c r="AE644" s="38"/>
      <c r="AF644" s="38"/>
      <c r="AG644" s="38"/>
      <c r="AH644" s="38"/>
      <c r="AJ644" s="39"/>
    </row>
    <row r="645" spans="4:36" s="36" customFormat="1" x14ac:dyDescent="0.25">
      <c r="D645" s="37"/>
      <c r="E645" s="38"/>
      <c r="F645" s="38"/>
      <c r="G645" s="38"/>
      <c r="H645" s="38"/>
      <c r="I645" s="38"/>
      <c r="J645" s="38"/>
      <c r="K645" s="38"/>
      <c r="M645" s="37"/>
      <c r="N645" s="37"/>
      <c r="O645" s="37"/>
      <c r="AD645" s="38"/>
      <c r="AE645" s="38"/>
      <c r="AF645" s="38"/>
      <c r="AG645" s="38"/>
      <c r="AH645" s="38"/>
      <c r="AJ645" s="39"/>
    </row>
    <row r="646" spans="4:36" s="36" customFormat="1" x14ac:dyDescent="0.25">
      <c r="D646" s="37"/>
      <c r="E646" s="38"/>
      <c r="F646" s="38"/>
      <c r="G646" s="38"/>
      <c r="H646" s="38"/>
      <c r="I646" s="38"/>
      <c r="J646" s="38"/>
      <c r="K646" s="38"/>
      <c r="M646" s="37"/>
      <c r="N646" s="37"/>
      <c r="O646" s="37"/>
      <c r="AD646" s="38"/>
      <c r="AE646" s="38"/>
      <c r="AF646" s="38"/>
      <c r="AG646" s="38"/>
      <c r="AH646" s="38"/>
      <c r="AJ646" s="39"/>
    </row>
    <row r="647" spans="4:36" s="36" customFormat="1" x14ac:dyDescent="0.25">
      <c r="D647" s="37"/>
      <c r="E647" s="38"/>
      <c r="F647" s="38"/>
      <c r="G647" s="38"/>
      <c r="H647" s="38"/>
      <c r="I647" s="38"/>
      <c r="J647" s="38"/>
      <c r="K647" s="38"/>
      <c r="M647" s="37"/>
      <c r="N647" s="37"/>
      <c r="O647" s="37"/>
      <c r="AD647" s="38"/>
      <c r="AE647" s="38"/>
      <c r="AF647" s="38"/>
      <c r="AG647" s="38"/>
      <c r="AH647" s="38"/>
      <c r="AJ647" s="39"/>
    </row>
    <row r="648" spans="4:36" s="36" customFormat="1" x14ac:dyDescent="0.25">
      <c r="D648" s="37"/>
      <c r="E648" s="38"/>
      <c r="F648" s="38"/>
      <c r="G648" s="38"/>
      <c r="H648" s="38"/>
      <c r="I648" s="38"/>
      <c r="J648" s="38"/>
      <c r="K648" s="38"/>
      <c r="M648" s="37"/>
      <c r="N648" s="37"/>
      <c r="O648" s="37"/>
      <c r="AD648" s="38"/>
      <c r="AE648" s="38"/>
      <c r="AF648" s="38"/>
      <c r="AG648" s="38"/>
      <c r="AH648" s="38"/>
      <c r="AJ648" s="39"/>
    </row>
    <row r="649" spans="4:36" s="36" customFormat="1" x14ac:dyDescent="0.25">
      <c r="D649" s="37"/>
      <c r="E649" s="38"/>
      <c r="F649" s="38"/>
      <c r="G649" s="38"/>
      <c r="H649" s="38"/>
      <c r="I649" s="38"/>
      <c r="J649" s="38"/>
      <c r="K649" s="38"/>
      <c r="M649" s="37"/>
      <c r="N649" s="37"/>
      <c r="O649" s="37"/>
      <c r="AD649" s="38"/>
      <c r="AE649" s="38"/>
      <c r="AF649" s="38"/>
      <c r="AG649" s="38"/>
      <c r="AH649" s="38"/>
      <c r="AJ649" s="39"/>
    </row>
    <row r="650" spans="4:36" s="36" customFormat="1" x14ac:dyDescent="0.25">
      <c r="D650" s="37"/>
      <c r="E650" s="38"/>
      <c r="F650" s="38"/>
      <c r="G650" s="38"/>
      <c r="H650" s="38"/>
      <c r="I650" s="38"/>
      <c r="J650" s="38"/>
      <c r="K650" s="38"/>
      <c r="M650" s="37"/>
      <c r="N650" s="37"/>
      <c r="O650" s="37"/>
      <c r="AD650" s="38"/>
      <c r="AE650" s="38"/>
      <c r="AF650" s="38"/>
      <c r="AG650" s="38"/>
      <c r="AH650" s="38"/>
      <c r="AJ650" s="39"/>
    </row>
    <row r="651" spans="4:36" s="36" customFormat="1" x14ac:dyDescent="0.25">
      <c r="D651" s="37"/>
      <c r="E651" s="38"/>
      <c r="F651" s="38"/>
      <c r="G651" s="38"/>
      <c r="H651" s="38"/>
      <c r="I651" s="38"/>
      <c r="J651" s="38"/>
      <c r="K651" s="38"/>
      <c r="M651" s="37"/>
      <c r="N651" s="37"/>
      <c r="O651" s="37"/>
      <c r="AD651" s="38"/>
      <c r="AE651" s="38"/>
      <c r="AF651" s="38"/>
      <c r="AG651" s="38"/>
      <c r="AH651" s="38"/>
      <c r="AJ651" s="39"/>
    </row>
    <row r="652" spans="4:36" s="36" customFormat="1" x14ac:dyDescent="0.25">
      <c r="D652" s="37"/>
      <c r="E652" s="38"/>
      <c r="F652" s="38"/>
      <c r="G652" s="38"/>
      <c r="H652" s="38"/>
      <c r="I652" s="38"/>
      <c r="J652" s="38"/>
      <c r="K652" s="38"/>
      <c r="M652" s="37"/>
      <c r="N652" s="37"/>
      <c r="O652" s="37"/>
      <c r="AD652" s="38"/>
      <c r="AE652" s="38"/>
      <c r="AF652" s="38"/>
      <c r="AG652" s="38"/>
      <c r="AH652" s="38"/>
      <c r="AJ652" s="39"/>
    </row>
    <row r="653" spans="4:36" s="36" customFormat="1" x14ac:dyDescent="0.25">
      <c r="D653" s="37"/>
      <c r="E653" s="38"/>
      <c r="F653" s="38"/>
      <c r="G653" s="38"/>
      <c r="H653" s="38"/>
      <c r="I653" s="38"/>
      <c r="J653" s="38"/>
      <c r="K653" s="38"/>
      <c r="M653" s="37"/>
      <c r="N653" s="37"/>
      <c r="O653" s="37"/>
      <c r="AD653" s="38"/>
      <c r="AE653" s="38"/>
      <c r="AF653" s="38"/>
      <c r="AG653" s="38"/>
      <c r="AH653" s="38"/>
      <c r="AJ653" s="39"/>
    </row>
    <row r="654" spans="4:36" s="36" customFormat="1" x14ac:dyDescent="0.25">
      <c r="D654" s="37"/>
      <c r="E654" s="38"/>
      <c r="F654" s="38"/>
      <c r="G654" s="38"/>
      <c r="H654" s="38"/>
      <c r="I654" s="38"/>
      <c r="J654" s="38"/>
      <c r="K654" s="38"/>
      <c r="M654" s="37"/>
      <c r="N654" s="37"/>
      <c r="O654" s="37"/>
      <c r="AD654" s="38"/>
      <c r="AE654" s="38"/>
      <c r="AF654" s="38"/>
      <c r="AG654" s="38"/>
      <c r="AH654" s="38"/>
      <c r="AJ654" s="39"/>
    </row>
    <row r="655" spans="4:36" s="36" customFormat="1" x14ac:dyDescent="0.25">
      <c r="D655" s="37"/>
      <c r="E655" s="38"/>
      <c r="F655" s="38"/>
      <c r="G655" s="38"/>
      <c r="H655" s="38"/>
      <c r="I655" s="38"/>
      <c r="J655" s="38"/>
      <c r="K655" s="38"/>
      <c r="M655" s="37"/>
      <c r="N655" s="37"/>
      <c r="O655" s="37"/>
      <c r="AD655" s="38"/>
      <c r="AE655" s="38"/>
      <c r="AF655" s="38"/>
      <c r="AG655" s="38"/>
      <c r="AH655" s="38"/>
      <c r="AJ655" s="39"/>
    </row>
    <row r="656" spans="4:36" s="36" customFormat="1" x14ac:dyDescent="0.25">
      <c r="D656" s="37"/>
      <c r="E656" s="38"/>
      <c r="F656" s="38"/>
      <c r="G656" s="38"/>
      <c r="H656" s="38"/>
      <c r="I656" s="38"/>
      <c r="J656" s="38"/>
      <c r="K656" s="38"/>
      <c r="M656" s="37"/>
      <c r="N656" s="37"/>
      <c r="O656" s="37"/>
      <c r="AD656" s="38"/>
      <c r="AE656" s="38"/>
      <c r="AF656" s="38"/>
      <c r="AG656" s="38"/>
      <c r="AH656" s="38"/>
      <c r="AJ656" s="39"/>
    </row>
    <row r="657" spans="4:36" s="36" customFormat="1" x14ac:dyDescent="0.25">
      <c r="D657" s="37"/>
      <c r="E657" s="38"/>
      <c r="F657" s="38"/>
      <c r="G657" s="38"/>
      <c r="H657" s="38"/>
      <c r="I657" s="38"/>
      <c r="J657" s="38"/>
      <c r="K657" s="38"/>
      <c r="M657" s="37"/>
      <c r="N657" s="37"/>
      <c r="O657" s="37"/>
      <c r="AD657" s="38"/>
      <c r="AE657" s="38"/>
      <c r="AF657" s="38"/>
      <c r="AG657" s="38"/>
      <c r="AH657" s="38"/>
      <c r="AJ657" s="39"/>
    </row>
    <row r="658" spans="4:36" s="36" customFormat="1" x14ac:dyDescent="0.25">
      <c r="D658" s="37"/>
      <c r="E658" s="38"/>
      <c r="F658" s="38"/>
      <c r="G658" s="38"/>
      <c r="H658" s="38"/>
      <c r="I658" s="38"/>
      <c r="J658" s="38"/>
      <c r="K658" s="38"/>
      <c r="M658" s="37"/>
      <c r="N658" s="37"/>
      <c r="O658" s="37"/>
      <c r="AD658" s="38"/>
      <c r="AE658" s="38"/>
      <c r="AF658" s="38"/>
      <c r="AG658" s="38"/>
      <c r="AH658" s="38"/>
      <c r="AJ658" s="39"/>
    </row>
    <row r="659" spans="4:36" s="36" customFormat="1" x14ac:dyDescent="0.25">
      <c r="D659" s="37"/>
      <c r="E659" s="38"/>
      <c r="F659" s="38"/>
      <c r="G659" s="38"/>
      <c r="H659" s="38"/>
      <c r="I659" s="38"/>
      <c r="J659" s="38"/>
      <c r="K659" s="38"/>
      <c r="M659" s="37"/>
      <c r="N659" s="37"/>
      <c r="O659" s="37"/>
      <c r="AD659" s="38"/>
      <c r="AE659" s="38"/>
      <c r="AF659" s="38"/>
      <c r="AG659" s="38"/>
      <c r="AH659" s="38"/>
      <c r="AJ659" s="39"/>
    </row>
    <row r="660" spans="4:36" s="36" customFormat="1" x14ac:dyDescent="0.25">
      <c r="D660" s="37"/>
      <c r="E660" s="38"/>
      <c r="F660" s="38"/>
      <c r="G660" s="38"/>
      <c r="H660" s="38"/>
      <c r="I660" s="38"/>
      <c r="J660" s="38"/>
      <c r="K660" s="38"/>
      <c r="M660" s="37"/>
      <c r="N660" s="37"/>
      <c r="O660" s="37"/>
      <c r="AD660" s="38"/>
      <c r="AE660" s="38"/>
      <c r="AF660" s="38"/>
      <c r="AG660" s="38"/>
      <c r="AH660" s="38"/>
      <c r="AJ660" s="39"/>
    </row>
    <row r="661" spans="4:36" s="36" customFormat="1" x14ac:dyDescent="0.25">
      <c r="D661" s="37"/>
      <c r="E661" s="38"/>
      <c r="F661" s="38"/>
      <c r="G661" s="38"/>
      <c r="H661" s="38"/>
      <c r="I661" s="38"/>
      <c r="J661" s="38"/>
      <c r="K661" s="38"/>
      <c r="M661" s="37"/>
      <c r="N661" s="37"/>
      <c r="O661" s="37"/>
      <c r="AD661" s="38"/>
      <c r="AE661" s="38"/>
      <c r="AF661" s="38"/>
      <c r="AG661" s="38"/>
      <c r="AH661" s="38"/>
      <c r="AJ661" s="39"/>
    </row>
    <row r="662" spans="4:36" s="36" customFormat="1" x14ac:dyDescent="0.25">
      <c r="D662" s="37"/>
      <c r="E662" s="38"/>
      <c r="F662" s="38"/>
      <c r="G662" s="38"/>
      <c r="H662" s="38"/>
      <c r="I662" s="38"/>
      <c r="J662" s="38"/>
      <c r="K662" s="38"/>
      <c r="M662" s="37"/>
      <c r="N662" s="37"/>
      <c r="O662" s="37"/>
      <c r="AD662" s="38"/>
      <c r="AE662" s="38"/>
      <c r="AF662" s="38"/>
      <c r="AG662" s="38"/>
      <c r="AH662" s="38"/>
      <c r="AJ662" s="39"/>
    </row>
    <row r="663" spans="4:36" s="36" customFormat="1" x14ac:dyDescent="0.25">
      <c r="D663" s="37"/>
      <c r="E663" s="38"/>
      <c r="F663" s="38"/>
      <c r="G663" s="38"/>
      <c r="H663" s="38"/>
      <c r="I663" s="38"/>
      <c r="J663" s="38"/>
      <c r="K663" s="38"/>
      <c r="M663" s="37"/>
      <c r="N663" s="37"/>
      <c r="O663" s="37"/>
      <c r="AD663" s="38"/>
      <c r="AE663" s="38"/>
      <c r="AF663" s="38"/>
      <c r="AG663" s="38"/>
      <c r="AH663" s="38"/>
      <c r="AJ663" s="39"/>
    </row>
    <row r="664" spans="4:36" s="36" customFormat="1" x14ac:dyDescent="0.25">
      <c r="D664" s="37"/>
      <c r="E664" s="38"/>
      <c r="F664" s="38"/>
      <c r="G664" s="38"/>
      <c r="H664" s="38"/>
      <c r="I664" s="38"/>
      <c r="J664" s="38"/>
      <c r="K664" s="38"/>
      <c r="M664" s="37"/>
      <c r="N664" s="37"/>
      <c r="O664" s="37"/>
      <c r="AD664" s="38"/>
      <c r="AE664" s="38"/>
      <c r="AF664" s="38"/>
      <c r="AG664" s="38"/>
      <c r="AH664" s="38"/>
      <c r="AJ664" s="39"/>
    </row>
    <row r="665" spans="4:36" s="36" customFormat="1" x14ac:dyDescent="0.25">
      <c r="D665" s="37"/>
      <c r="E665" s="38"/>
      <c r="F665" s="38"/>
      <c r="G665" s="38"/>
      <c r="H665" s="38"/>
      <c r="I665" s="38"/>
      <c r="J665" s="38"/>
      <c r="K665" s="38"/>
      <c r="M665" s="37"/>
      <c r="N665" s="37"/>
      <c r="O665" s="37"/>
      <c r="AD665" s="38"/>
      <c r="AE665" s="38"/>
      <c r="AF665" s="38"/>
      <c r="AG665" s="38"/>
      <c r="AH665" s="38"/>
      <c r="AJ665" s="39"/>
    </row>
    <row r="666" spans="4:36" s="36" customFormat="1" x14ac:dyDescent="0.25">
      <c r="D666" s="37"/>
      <c r="E666" s="38"/>
      <c r="F666" s="38"/>
      <c r="G666" s="38"/>
      <c r="H666" s="38"/>
      <c r="I666" s="38"/>
      <c r="J666" s="38"/>
      <c r="K666" s="38"/>
      <c r="M666" s="37"/>
      <c r="N666" s="37"/>
      <c r="O666" s="37"/>
      <c r="AD666" s="38"/>
      <c r="AE666" s="38"/>
      <c r="AF666" s="38"/>
      <c r="AG666" s="38"/>
      <c r="AH666" s="38"/>
      <c r="AJ666" s="39"/>
    </row>
    <row r="667" spans="4:36" s="36" customFormat="1" x14ac:dyDescent="0.25">
      <c r="D667" s="37"/>
      <c r="E667" s="38"/>
      <c r="F667" s="38"/>
      <c r="G667" s="38"/>
      <c r="H667" s="38"/>
      <c r="I667" s="38"/>
      <c r="J667" s="38"/>
      <c r="K667" s="38"/>
      <c r="M667" s="37"/>
      <c r="N667" s="37"/>
      <c r="O667" s="37"/>
      <c r="AD667" s="38"/>
      <c r="AE667" s="38"/>
      <c r="AF667" s="38"/>
      <c r="AG667" s="38"/>
      <c r="AH667" s="38"/>
      <c r="AJ667" s="39"/>
    </row>
    <row r="668" spans="4:36" s="36" customFormat="1" x14ac:dyDescent="0.25">
      <c r="D668" s="37"/>
      <c r="E668" s="38"/>
      <c r="F668" s="38"/>
      <c r="G668" s="38"/>
      <c r="H668" s="38"/>
      <c r="I668" s="38"/>
      <c r="J668" s="38"/>
      <c r="K668" s="38"/>
      <c r="M668" s="37"/>
      <c r="N668" s="37"/>
      <c r="O668" s="37"/>
      <c r="AD668" s="38"/>
      <c r="AE668" s="38"/>
      <c r="AF668" s="38"/>
      <c r="AG668" s="38"/>
      <c r="AH668" s="38"/>
      <c r="AJ668" s="39"/>
    </row>
    <row r="669" spans="4:36" s="36" customFormat="1" x14ac:dyDescent="0.25">
      <c r="D669" s="37"/>
      <c r="E669" s="38"/>
      <c r="F669" s="38"/>
      <c r="G669" s="38"/>
      <c r="H669" s="38"/>
      <c r="I669" s="38"/>
      <c r="J669" s="38"/>
      <c r="K669" s="38"/>
      <c r="M669" s="37"/>
      <c r="N669" s="37"/>
      <c r="O669" s="37"/>
      <c r="AD669" s="38"/>
      <c r="AE669" s="38"/>
      <c r="AF669" s="38"/>
      <c r="AG669" s="38"/>
      <c r="AH669" s="38"/>
      <c r="AJ669" s="39"/>
    </row>
    <row r="670" spans="4:36" s="36" customFormat="1" x14ac:dyDescent="0.25">
      <c r="D670" s="37"/>
      <c r="E670" s="38"/>
      <c r="F670" s="38"/>
      <c r="G670" s="38"/>
      <c r="H670" s="38"/>
      <c r="I670" s="38"/>
      <c r="J670" s="38"/>
      <c r="K670" s="38"/>
      <c r="M670" s="37"/>
      <c r="N670" s="37"/>
      <c r="O670" s="37"/>
      <c r="AD670" s="38"/>
      <c r="AE670" s="38"/>
      <c r="AF670" s="38"/>
      <c r="AG670" s="38"/>
      <c r="AH670" s="38"/>
      <c r="AJ670" s="39"/>
    </row>
    <row r="671" spans="4:36" s="36" customFormat="1" x14ac:dyDescent="0.25">
      <c r="D671" s="37"/>
      <c r="E671" s="38"/>
      <c r="F671" s="38"/>
      <c r="G671" s="38"/>
      <c r="H671" s="38"/>
      <c r="I671" s="38"/>
      <c r="J671" s="38"/>
      <c r="K671" s="38"/>
      <c r="M671" s="37"/>
      <c r="N671" s="37"/>
      <c r="O671" s="37"/>
      <c r="AD671" s="38"/>
      <c r="AE671" s="38"/>
      <c r="AF671" s="38"/>
      <c r="AG671" s="38"/>
      <c r="AH671" s="38"/>
      <c r="AJ671" s="39"/>
    </row>
    <row r="672" spans="4:36" s="36" customFormat="1" x14ac:dyDescent="0.25">
      <c r="D672" s="37"/>
      <c r="E672" s="38"/>
      <c r="F672" s="38"/>
      <c r="G672" s="38"/>
      <c r="H672" s="38"/>
      <c r="I672" s="38"/>
      <c r="J672" s="38"/>
      <c r="K672" s="38"/>
      <c r="M672" s="37"/>
      <c r="N672" s="37"/>
      <c r="O672" s="37"/>
      <c r="AD672" s="38"/>
      <c r="AE672" s="38"/>
      <c r="AF672" s="38"/>
      <c r="AG672" s="38"/>
      <c r="AH672" s="38"/>
      <c r="AJ672" s="39"/>
    </row>
    <row r="673" spans="4:36" s="36" customFormat="1" x14ac:dyDescent="0.25">
      <c r="D673" s="37"/>
      <c r="E673" s="38"/>
      <c r="F673" s="38"/>
      <c r="G673" s="38"/>
      <c r="H673" s="38"/>
      <c r="I673" s="38"/>
      <c r="J673" s="38"/>
      <c r="K673" s="38"/>
      <c r="M673" s="37"/>
      <c r="N673" s="37"/>
      <c r="O673" s="37"/>
      <c r="AD673" s="38"/>
      <c r="AE673" s="38"/>
      <c r="AF673" s="38"/>
      <c r="AG673" s="38"/>
      <c r="AH673" s="38"/>
      <c r="AJ673" s="39"/>
    </row>
    <row r="674" spans="4:36" s="36" customFormat="1" x14ac:dyDescent="0.25">
      <c r="D674" s="37"/>
      <c r="E674" s="38"/>
      <c r="F674" s="38"/>
      <c r="G674" s="38"/>
      <c r="H674" s="38"/>
      <c r="I674" s="38"/>
      <c r="J674" s="38"/>
      <c r="K674" s="38"/>
      <c r="M674" s="37"/>
      <c r="N674" s="37"/>
      <c r="O674" s="37"/>
      <c r="AD674" s="38"/>
      <c r="AE674" s="38"/>
      <c r="AF674" s="38"/>
      <c r="AG674" s="38"/>
      <c r="AH674" s="38"/>
      <c r="AJ674" s="39"/>
    </row>
    <row r="675" spans="4:36" s="36" customFormat="1" x14ac:dyDescent="0.25">
      <c r="D675" s="37"/>
      <c r="E675" s="38"/>
      <c r="F675" s="38"/>
      <c r="G675" s="38"/>
      <c r="H675" s="38"/>
      <c r="I675" s="38"/>
      <c r="J675" s="38"/>
      <c r="K675" s="38"/>
      <c r="M675" s="37"/>
      <c r="N675" s="37"/>
      <c r="O675" s="37"/>
      <c r="AD675" s="38"/>
      <c r="AE675" s="38"/>
      <c r="AF675" s="38"/>
      <c r="AG675" s="38"/>
      <c r="AH675" s="38"/>
      <c r="AJ675" s="39"/>
    </row>
    <row r="676" spans="4:36" s="36" customFormat="1" x14ac:dyDescent="0.25">
      <c r="D676" s="37"/>
      <c r="E676" s="38"/>
      <c r="F676" s="38"/>
      <c r="G676" s="38"/>
      <c r="H676" s="38"/>
      <c r="I676" s="38"/>
      <c r="J676" s="38"/>
      <c r="K676" s="38"/>
      <c r="M676" s="37"/>
      <c r="N676" s="37"/>
      <c r="O676" s="37"/>
      <c r="AD676" s="38"/>
      <c r="AE676" s="38"/>
      <c r="AF676" s="38"/>
      <c r="AG676" s="38"/>
      <c r="AH676" s="38"/>
      <c r="AJ676" s="39"/>
    </row>
    <row r="677" spans="4:36" s="36" customFormat="1" x14ac:dyDescent="0.25">
      <c r="D677" s="37"/>
      <c r="E677" s="38"/>
      <c r="F677" s="38"/>
      <c r="G677" s="38"/>
      <c r="H677" s="38"/>
      <c r="I677" s="38"/>
      <c r="J677" s="38"/>
      <c r="K677" s="38"/>
      <c r="M677" s="37"/>
      <c r="N677" s="37"/>
      <c r="O677" s="37"/>
      <c r="AD677" s="38"/>
      <c r="AE677" s="38"/>
      <c r="AF677" s="38"/>
      <c r="AG677" s="38"/>
      <c r="AH677" s="38"/>
      <c r="AJ677" s="39"/>
    </row>
    <row r="678" spans="4:36" s="36" customFormat="1" x14ac:dyDescent="0.25">
      <c r="D678" s="37"/>
      <c r="E678" s="38"/>
      <c r="F678" s="38"/>
      <c r="G678" s="38"/>
      <c r="H678" s="38"/>
      <c r="I678" s="38"/>
      <c r="J678" s="38"/>
      <c r="K678" s="38"/>
      <c r="M678" s="37"/>
      <c r="N678" s="37"/>
      <c r="O678" s="37"/>
      <c r="AD678" s="38"/>
      <c r="AE678" s="38"/>
      <c r="AF678" s="38"/>
      <c r="AG678" s="38"/>
      <c r="AH678" s="38"/>
      <c r="AJ678" s="39"/>
    </row>
    <row r="679" spans="4:36" s="36" customFormat="1" x14ac:dyDescent="0.25">
      <c r="D679" s="37"/>
      <c r="E679" s="38"/>
      <c r="F679" s="38"/>
      <c r="G679" s="38"/>
      <c r="H679" s="38"/>
      <c r="I679" s="38"/>
      <c r="J679" s="38"/>
      <c r="K679" s="38"/>
      <c r="M679" s="37"/>
      <c r="N679" s="37"/>
      <c r="O679" s="37"/>
      <c r="AD679" s="38"/>
      <c r="AE679" s="38"/>
      <c r="AF679" s="38"/>
      <c r="AG679" s="38"/>
      <c r="AH679" s="38"/>
      <c r="AJ679" s="39"/>
    </row>
    <row r="680" spans="4:36" s="36" customFormat="1" x14ac:dyDescent="0.25">
      <c r="D680" s="37"/>
      <c r="E680" s="38"/>
      <c r="F680" s="38"/>
      <c r="G680" s="38"/>
      <c r="H680" s="38"/>
      <c r="I680" s="38"/>
      <c r="J680" s="38"/>
      <c r="K680" s="38"/>
      <c r="M680" s="37"/>
      <c r="N680" s="37"/>
      <c r="O680" s="37"/>
      <c r="AD680" s="38"/>
      <c r="AE680" s="38"/>
      <c r="AF680" s="38"/>
      <c r="AG680" s="38"/>
      <c r="AH680" s="38"/>
      <c r="AJ680" s="39"/>
    </row>
    <row r="681" spans="4:36" s="36" customFormat="1" x14ac:dyDescent="0.25">
      <c r="D681" s="37"/>
      <c r="E681" s="38"/>
      <c r="F681" s="38"/>
      <c r="G681" s="38"/>
      <c r="H681" s="38"/>
      <c r="I681" s="38"/>
      <c r="J681" s="38"/>
      <c r="K681" s="38"/>
      <c r="M681" s="37"/>
      <c r="N681" s="37"/>
      <c r="O681" s="37"/>
      <c r="AD681" s="38"/>
      <c r="AE681" s="38"/>
      <c r="AF681" s="38"/>
      <c r="AG681" s="38"/>
      <c r="AH681" s="38"/>
      <c r="AJ681" s="39"/>
    </row>
    <row r="682" spans="4:36" s="36" customFormat="1" x14ac:dyDescent="0.25">
      <c r="D682" s="37"/>
      <c r="E682" s="38"/>
      <c r="F682" s="38"/>
      <c r="G682" s="38"/>
      <c r="H682" s="38"/>
      <c r="I682" s="38"/>
      <c r="J682" s="38"/>
      <c r="K682" s="38"/>
      <c r="M682" s="37"/>
      <c r="N682" s="37"/>
      <c r="O682" s="37"/>
      <c r="AD682" s="38"/>
      <c r="AE682" s="38"/>
      <c r="AF682" s="38"/>
      <c r="AG682" s="38"/>
      <c r="AH682" s="38"/>
      <c r="AJ682" s="39"/>
    </row>
    <row r="683" spans="4:36" s="36" customFormat="1" x14ac:dyDescent="0.25">
      <c r="D683" s="37"/>
      <c r="E683" s="38"/>
      <c r="F683" s="38"/>
      <c r="G683" s="38"/>
      <c r="H683" s="38"/>
      <c r="I683" s="38"/>
      <c r="J683" s="38"/>
      <c r="K683" s="38"/>
      <c r="M683" s="37"/>
      <c r="N683" s="37"/>
      <c r="O683" s="37"/>
      <c r="AD683" s="38"/>
      <c r="AE683" s="38"/>
      <c r="AF683" s="38"/>
      <c r="AG683" s="38"/>
      <c r="AH683" s="38"/>
      <c r="AJ683" s="39"/>
    </row>
    <row r="684" spans="4:36" s="36" customFormat="1" x14ac:dyDescent="0.25">
      <c r="D684" s="37"/>
      <c r="E684" s="38"/>
      <c r="F684" s="38"/>
      <c r="G684" s="38"/>
      <c r="H684" s="38"/>
      <c r="I684" s="38"/>
      <c r="J684" s="38"/>
      <c r="K684" s="38"/>
      <c r="M684" s="37"/>
      <c r="N684" s="37"/>
      <c r="O684" s="37"/>
      <c r="AD684" s="38"/>
      <c r="AE684" s="38"/>
      <c r="AF684" s="38"/>
      <c r="AG684" s="38"/>
      <c r="AH684" s="38"/>
      <c r="AJ684" s="39"/>
    </row>
    <row r="685" spans="4:36" s="36" customFormat="1" x14ac:dyDescent="0.25">
      <c r="D685" s="37"/>
      <c r="E685" s="38"/>
      <c r="F685" s="38"/>
      <c r="G685" s="38"/>
      <c r="H685" s="38"/>
      <c r="I685" s="38"/>
      <c r="J685" s="38"/>
      <c r="K685" s="38"/>
      <c r="M685" s="37"/>
      <c r="N685" s="37"/>
      <c r="O685" s="37"/>
      <c r="AD685" s="38"/>
      <c r="AE685" s="38"/>
      <c r="AF685" s="38"/>
      <c r="AG685" s="38"/>
      <c r="AH685" s="38"/>
      <c r="AJ685" s="39"/>
    </row>
    <row r="686" spans="4:36" s="36" customFormat="1" x14ac:dyDescent="0.25">
      <c r="D686" s="37"/>
      <c r="E686" s="38"/>
      <c r="F686" s="38"/>
      <c r="G686" s="38"/>
      <c r="H686" s="38"/>
      <c r="I686" s="38"/>
      <c r="J686" s="38"/>
      <c r="K686" s="38"/>
      <c r="M686" s="37"/>
      <c r="N686" s="37"/>
      <c r="O686" s="37"/>
      <c r="AD686" s="38"/>
      <c r="AE686" s="38"/>
      <c r="AF686" s="38"/>
      <c r="AG686" s="38"/>
      <c r="AH686" s="38"/>
      <c r="AJ686" s="39"/>
    </row>
    <row r="687" spans="4:36" s="36" customFormat="1" x14ac:dyDescent="0.25">
      <c r="D687" s="37"/>
      <c r="E687" s="38"/>
      <c r="F687" s="38"/>
      <c r="G687" s="38"/>
      <c r="H687" s="38"/>
      <c r="I687" s="38"/>
      <c r="J687" s="38"/>
      <c r="K687" s="38"/>
      <c r="M687" s="37"/>
      <c r="N687" s="37"/>
      <c r="O687" s="37"/>
      <c r="AD687" s="38"/>
      <c r="AE687" s="38"/>
      <c r="AF687" s="38"/>
      <c r="AG687" s="38"/>
      <c r="AH687" s="38"/>
      <c r="AJ687" s="39"/>
    </row>
    <row r="688" spans="4:36" s="36" customFormat="1" x14ac:dyDescent="0.25">
      <c r="D688" s="37"/>
      <c r="E688" s="38"/>
      <c r="F688" s="38"/>
      <c r="G688" s="38"/>
      <c r="H688" s="38"/>
      <c r="I688" s="38"/>
      <c r="J688" s="38"/>
      <c r="K688" s="38"/>
      <c r="M688" s="37"/>
      <c r="N688" s="37"/>
      <c r="O688" s="37"/>
      <c r="AD688" s="38"/>
      <c r="AE688" s="38"/>
      <c r="AF688" s="38"/>
      <c r="AG688" s="38"/>
      <c r="AH688" s="38"/>
      <c r="AJ688" s="39"/>
    </row>
    <row r="689" spans="4:36" s="36" customFormat="1" x14ac:dyDescent="0.25">
      <c r="D689" s="37"/>
      <c r="E689" s="38"/>
      <c r="F689" s="38"/>
      <c r="G689" s="38"/>
      <c r="H689" s="38"/>
      <c r="I689" s="38"/>
      <c r="J689" s="38"/>
      <c r="K689" s="38"/>
      <c r="M689" s="37"/>
      <c r="N689" s="37"/>
      <c r="O689" s="37"/>
      <c r="AD689" s="38"/>
      <c r="AE689" s="38"/>
      <c r="AF689" s="38"/>
      <c r="AG689" s="38"/>
      <c r="AH689" s="38"/>
      <c r="AJ689" s="39"/>
    </row>
    <row r="690" spans="4:36" s="36" customFormat="1" x14ac:dyDescent="0.25">
      <c r="D690" s="37"/>
      <c r="E690" s="38"/>
      <c r="F690" s="38"/>
      <c r="G690" s="38"/>
      <c r="H690" s="38"/>
      <c r="I690" s="38"/>
      <c r="J690" s="38"/>
      <c r="K690" s="38"/>
      <c r="M690" s="37"/>
      <c r="N690" s="37"/>
      <c r="O690" s="37"/>
      <c r="AD690" s="38"/>
      <c r="AE690" s="38"/>
      <c r="AF690" s="38"/>
      <c r="AG690" s="38"/>
      <c r="AH690" s="38"/>
      <c r="AJ690" s="39"/>
    </row>
    <row r="691" spans="4:36" s="36" customFormat="1" x14ac:dyDescent="0.25">
      <c r="D691" s="37"/>
      <c r="E691" s="38"/>
      <c r="F691" s="38"/>
      <c r="G691" s="38"/>
      <c r="H691" s="38"/>
      <c r="I691" s="38"/>
      <c r="J691" s="38"/>
      <c r="K691" s="38"/>
      <c r="M691" s="37"/>
      <c r="N691" s="37"/>
      <c r="O691" s="37"/>
      <c r="AD691" s="38"/>
      <c r="AE691" s="38"/>
      <c r="AF691" s="38"/>
      <c r="AG691" s="38"/>
      <c r="AH691" s="38"/>
      <c r="AJ691" s="39"/>
    </row>
    <row r="692" spans="4:36" s="36" customFormat="1" x14ac:dyDescent="0.25">
      <c r="D692" s="37"/>
      <c r="E692" s="38"/>
      <c r="F692" s="38"/>
      <c r="G692" s="38"/>
      <c r="H692" s="38"/>
      <c r="I692" s="38"/>
      <c r="J692" s="38"/>
      <c r="K692" s="38"/>
      <c r="M692" s="37"/>
      <c r="N692" s="37"/>
      <c r="O692" s="37"/>
      <c r="AD692" s="38"/>
      <c r="AE692" s="38"/>
      <c r="AF692" s="38"/>
      <c r="AG692" s="38"/>
      <c r="AH692" s="38"/>
      <c r="AJ692" s="39"/>
    </row>
    <row r="693" spans="4:36" s="36" customFormat="1" x14ac:dyDescent="0.25">
      <c r="D693" s="37"/>
      <c r="E693" s="38"/>
      <c r="F693" s="38"/>
      <c r="G693" s="38"/>
      <c r="H693" s="38"/>
      <c r="I693" s="38"/>
      <c r="J693" s="38"/>
      <c r="K693" s="38"/>
      <c r="M693" s="37"/>
      <c r="N693" s="37"/>
      <c r="O693" s="37"/>
      <c r="AD693" s="38"/>
      <c r="AE693" s="38"/>
      <c r="AF693" s="38"/>
      <c r="AG693" s="38"/>
      <c r="AH693" s="38"/>
      <c r="AJ693" s="39"/>
    </row>
    <row r="694" spans="4:36" s="36" customFormat="1" x14ac:dyDescent="0.25">
      <c r="D694" s="37"/>
      <c r="E694" s="38"/>
      <c r="F694" s="38"/>
      <c r="G694" s="38"/>
      <c r="H694" s="38"/>
      <c r="I694" s="38"/>
      <c r="J694" s="38"/>
      <c r="K694" s="38"/>
      <c r="M694" s="37"/>
      <c r="N694" s="37"/>
      <c r="O694" s="37"/>
      <c r="AD694" s="38"/>
      <c r="AE694" s="38"/>
      <c r="AF694" s="38"/>
      <c r="AG694" s="38"/>
      <c r="AH694" s="38"/>
      <c r="AJ694" s="39"/>
    </row>
    <row r="695" spans="4:36" s="36" customFormat="1" x14ac:dyDescent="0.25">
      <c r="D695" s="37"/>
      <c r="E695" s="38"/>
      <c r="F695" s="38"/>
      <c r="G695" s="38"/>
      <c r="H695" s="38"/>
      <c r="I695" s="38"/>
      <c r="J695" s="38"/>
      <c r="K695" s="38"/>
      <c r="M695" s="37"/>
      <c r="N695" s="37"/>
      <c r="O695" s="37"/>
      <c r="AD695" s="38"/>
      <c r="AE695" s="38"/>
      <c r="AF695" s="38"/>
      <c r="AG695" s="38"/>
      <c r="AH695" s="38"/>
      <c r="AJ695" s="39"/>
    </row>
    <row r="696" spans="4:36" s="36" customFormat="1" x14ac:dyDescent="0.25">
      <c r="D696" s="37"/>
      <c r="E696" s="38"/>
      <c r="F696" s="38"/>
      <c r="G696" s="38"/>
      <c r="H696" s="38"/>
      <c r="I696" s="38"/>
      <c r="J696" s="38"/>
      <c r="K696" s="38"/>
      <c r="M696" s="37"/>
      <c r="N696" s="37"/>
      <c r="O696" s="37"/>
      <c r="AD696" s="38"/>
      <c r="AE696" s="38"/>
      <c r="AF696" s="38"/>
      <c r="AG696" s="38"/>
      <c r="AH696" s="38"/>
      <c r="AJ696" s="39"/>
    </row>
    <row r="697" spans="4:36" s="36" customFormat="1" x14ac:dyDescent="0.25">
      <c r="D697" s="37"/>
      <c r="E697" s="38"/>
      <c r="F697" s="38"/>
      <c r="G697" s="38"/>
      <c r="H697" s="38"/>
      <c r="I697" s="38"/>
      <c r="J697" s="38"/>
      <c r="K697" s="38"/>
      <c r="M697" s="37"/>
      <c r="N697" s="37"/>
      <c r="O697" s="37"/>
      <c r="AD697" s="38"/>
      <c r="AE697" s="38"/>
      <c r="AF697" s="38"/>
      <c r="AG697" s="38"/>
      <c r="AH697" s="38"/>
      <c r="AJ697" s="39"/>
    </row>
    <row r="698" spans="4:36" s="36" customFormat="1" x14ac:dyDescent="0.25">
      <c r="D698" s="37"/>
      <c r="E698" s="38"/>
      <c r="F698" s="38"/>
      <c r="G698" s="38"/>
      <c r="H698" s="38"/>
      <c r="I698" s="38"/>
      <c r="J698" s="38"/>
      <c r="K698" s="38"/>
      <c r="M698" s="37"/>
      <c r="N698" s="37"/>
      <c r="O698" s="37"/>
      <c r="AD698" s="38"/>
      <c r="AE698" s="38"/>
      <c r="AF698" s="38"/>
      <c r="AG698" s="38"/>
      <c r="AH698" s="38"/>
      <c r="AJ698" s="39"/>
    </row>
    <row r="699" spans="4:36" s="36" customFormat="1" x14ac:dyDescent="0.25">
      <c r="D699" s="37"/>
      <c r="E699" s="38"/>
      <c r="F699" s="38"/>
      <c r="G699" s="38"/>
      <c r="H699" s="38"/>
      <c r="I699" s="38"/>
      <c r="J699" s="38"/>
      <c r="K699" s="38"/>
      <c r="M699" s="37"/>
      <c r="N699" s="37"/>
      <c r="O699" s="37"/>
      <c r="AD699" s="38"/>
      <c r="AE699" s="38"/>
      <c r="AF699" s="38"/>
      <c r="AG699" s="38"/>
      <c r="AH699" s="38"/>
      <c r="AJ699" s="39"/>
    </row>
    <row r="700" spans="4:36" s="36" customFormat="1" x14ac:dyDescent="0.25">
      <c r="D700" s="37"/>
      <c r="E700" s="38"/>
      <c r="F700" s="38"/>
      <c r="G700" s="38"/>
      <c r="H700" s="38"/>
      <c r="I700" s="38"/>
      <c r="J700" s="38"/>
      <c r="K700" s="38"/>
      <c r="M700" s="37"/>
      <c r="N700" s="37"/>
      <c r="O700" s="37"/>
      <c r="AD700" s="38"/>
      <c r="AE700" s="38"/>
      <c r="AF700" s="38"/>
      <c r="AG700" s="38"/>
      <c r="AH700" s="38"/>
      <c r="AJ700" s="39"/>
    </row>
    <row r="701" spans="4:36" s="36" customFormat="1" x14ac:dyDescent="0.25">
      <c r="D701" s="37"/>
      <c r="E701" s="38"/>
      <c r="F701" s="38"/>
      <c r="G701" s="38"/>
      <c r="H701" s="38"/>
      <c r="I701" s="38"/>
      <c r="J701" s="38"/>
      <c r="K701" s="38"/>
      <c r="M701" s="37"/>
      <c r="N701" s="37"/>
      <c r="O701" s="37"/>
      <c r="AD701" s="38"/>
      <c r="AE701" s="38"/>
      <c r="AF701" s="38"/>
      <c r="AG701" s="38"/>
      <c r="AH701" s="38"/>
      <c r="AJ701" s="39"/>
    </row>
    <row r="702" spans="4:36" s="36" customFormat="1" x14ac:dyDescent="0.25">
      <c r="D702" s="37"/>
      <c r="E702" s="38"/>
      <c r="F702" s="38"/>
      <c r="G702" s="38"/>
      <c r="H702" s="38"/>
      <c r="I702" s="38"/>
      <c r="J702" s="38"/>
      <c r="K702" s="38"/>
      <c r="M702" s="37"/>
      <c r="N702" s="37"/>
      <c r="O702" s="37"/>
      <c r="AD702" s="38"/>
      <c r="AE702" s="38"/>
      <c r="AF702" s="38"/>
      <c r="AG702" s="38"/>
      <c r="AH702" s="38"/>
      <c r="AJ702" s="39"/>
    </row>
    <row r="703" spans="4:36" s="36" customFormat="1" x14ac:dyDescent="0.25">
      <c r="D703" s="37"/>
      <c r="E703" s="38"/>
      <c r="F703" s="38"/>
      <c r="G703" s="38"/>
      <c r="H703" s="38"/>
      <c r="I703" s="38"/>
      <c r="J703" s="38"/>
      <c r="K703" s="38"/>
      <c r="M703" s="37"/>
      <c r="N703" s="37"/>
      <c r="O703" s="37"/>
      <c r="AD703" s="38"/>
      <c r="AE703" s="38"/>
      <c r="AF703" s="38"/>
      <c r="AG703" s="38"/>
      <c r="AH703" s="38"/>
      <c r="AJ703" s="39"/>
    </row>
    <row r="704" spans="4:36" s="36" customFormat="1" x14ac:dyDescent="0.25">
      <c r="D704" s="37"/>
      <c r="E704" s="38"/>
      <c r="F704" s="38"/>
      <c r="G704" s="38"/>
      <c r="H704" s="38"/>
      <c r="I704" s="38"/>
      <c r="J704" s="38"/>
      <c r="K704" s="38"/>
      <c r="M704" s="37"/>
      <c r="N704" s="37"/>
      <c r="O704" s="37"/>
      <c r="AD704" s="38"/>
      <c r="AE704" s="38"/>
      <c r="AF704" s="38"/>
      <c r="AG704" s="38"/>
      <c r="AH704" s="38"/>
      <c r="AJ704" s="39"/>
    </row>
    <row r="705" spans="4:36" s="36" customFormat="1" x14ac:dyDescent="0.25">
      <c r="D705" s="37"/>
      <c r="E705" s="38"/>
      <c r="F705" s="38"/>
      <c r="G705" s="38"/>
      <c r="H705" s="38"/>
      <c r="I705" s="38"/>
      <c r="J705" s="38"/>
      <c r="K705" s="38"/>
      <c r="M705" s="37"/>
      <c r="N705" s="37"/>
      <c r="O705" s="37"/>
      <c r="AD705" s="38"/>
      <c r="AE705" s="38"/>
      <c r="AF705" s="38"/>
      <c r="AG705" s="38"/>
      <c r="AH705" s="38"/>
      <c r="AJ705" s="39"/>
    </row>
    <row r="706" spans="4:36" s="36" customFormat="1" x14ac:dyDescent="0.25">
      <c r="D706" s="37"/>
      <c r="E706" s="38"/>
      <c r="F706" s="38"/>
      <c r="G706" s="38"/>
      <c r="H706" s="38"/>
      <c r="I706" s="38"/>
      <c r="J706" s="38"/>
      <c r="K706" s="38"/>
      <c r="M706" s="37"/>
      <c r="N706" s="37"/>
      <c r="O706" s="37"/>
      <c r="AD706" s="38"/>
      <c r="AE706" s="38"/>
      <c r="AF706" s="38"/>
      <c r="AG706" s="38"/>
      <c r="AH706" s="38"/>
      <c r="AJ706" s="39"/>
    </row>
    <row r="707" spans="4:36" s="36" customFormat="1" x14ac:dyDescent="0.25">
      <c r="D707" s="37"/>
      <c r="E707" s="38"/>
      <c r="F707" s="38"/>
      <c r="G707" s="38"/>
      <c r="H707" s="38"/>
      <c r="I707" s="38"/>
      <c r="J707" s="38"/>
      <c r="K707" s="38"/>
      <c r="M707" s="37"/>
      <c r="N707" s="37"/>
      <c r="O707" s="37"/>
      <c r="AD707" s="38"/>
      <c r="AE707" s="38"/>
      <c r="AF707" s="38"/>
      <c r="AG707" s="38"/>
      <c r="AH707" s="38"/>
      <c r="AJ707" s="39"/>
    </row>
    <row r="708" spans="4:36" s="36" customFormat="1" x14ac:dyDescent="0.25">
      <c r="D708" s="37"/>
      <c r="E708" s="38"/>
      <c r="F708" s="38"/>
      <c r="G708" s="38"/>
      <c r="H708" s="38"/>
      <c r="I708" s="38"/>
      <c r="J708" s="38"/>
      <c r="K708" s="38"/>
      <c r="M708" s="37"/>
      <c r="N708" s="37"/>
      <c r="O708" s="37"/>
      <c r="AD708" s="38"/>
      <c r="AE708" s="38"/>
      <c r="AF708" s="38"/>
      <c r="AG708" s="38"/>
      <c r="AH708" s="38"/>
      <c r="AJ708" s="39"/>
    </row>
    <row r="709" spans="4:36" s="36" customFormat="1" x14ac:dyDescent="0.25">
      <c r="D709" s="37"/>
      <c r="E709" s="38"/>
      <c r="F709" s="38"/>
      <c r="G709" s="38"/>
      <c r="H709" s="38"/>
      <c r="I709" s="38"/>
      <c r="J709" s="38"/>
      <c r="K709" s="38"/>
      <c r="M709" s="37"/>
      <c r="N709" s="37"/>
      <c r="O709" s="37"/>
      <c r="AD709" s="38"/>
      <c r="AE709" s="38"/>
      <c r="AF709" s="38"/>
      <c r="AG709" s="38"/>
      <c r="AH709" s="38"/>
      <c r="AJ709" s="39"/>
    </row>
    <row r="710" spans="4:36" s="36" customFormat="1" x14ac:dyDescent="0.25">
      <c r="D710" s="37"/>
      <c r="E710" s="38"/>
      <c r="F710" s="38"/>
      <c r="G710" s="38"/>
      <c r="H710" s="38"/>
      <c r="I710" s="38"/>
      <c r="J710" s="38"/>
      <c r="K710" s="38"/>
      <c r="M710" s="37"/>
      <c r="N710" s="37"/>
      <c r="O710" s="37"/>
      <c r="AD710" s="38"/>
      <c r="AE710" s="38"/>
      <c r="AF710" s="38"/>
      <c r="AG710" s="38"/>
      <c r="AH710" s="38"/>
      <c r="AJ710" s="39"/>
    </row>
    <row r="711" spans="4:36" s="36" customFormat="1" x14ac:dyDescent="0.25">
      <c r="D711" s="37"/>
      <c r="E711" s="38"/>
      <c r="F711" s="38"/>
      <c r="G711" s="38"/>
      <c r="H711" s="38"/>
      <c r="I711" s="38"/>
      <c r="J711" s="38"/>
      <c r="K711" s="38"/>
      <c r="M711" s="37"/>
      <c r="N711" s="37"/>
      <c r="O711" s="37"/>
      <c r="AD711" s="38"/>
      <c r="AE711" s="38"/>
      <c r="AF711" s="38"/>
      <c r="AG711" s="38"/>
      <c r="AH711" s="38"/>
      <c r="AJ711" s="39"/>
    </row>
    <row r="712" spans="4:36" s="36" customFormat="1" x14ac:dyDescent="0.25">
      <c r="D712" s="37"/>
      <c r="E712" s="38"/>
      <c r="F712" s="38"/>
      <c r="G712" s="38"/>
      <c r="H712" s="38"/>
      <c r="I712" s="38"/>
      <c r="J712" s="38"/>
      <c r="K712" s="38"/>
      <c r="M712" s="37"/>
      <c r="N712" s="37"/>
      <c r="O712" s="37"/>
      <c r="AD712" s="38"/>
      <c r="AE712" s="38"/>
      <c r="AF712" s="38"/>
      <c r="AG712" s="38"/>
      <c r="AH712" s="38"/>
      <c r="AJ712" s="39"/>
    </row>
    <row r="713" spans="4:36" s="36" customFormat="1" x14ac:dyDescent="0.25">
      <c r="D713" s="37"/>
      <c r="E713" s="38"/>
      <c r="F713" s="38"/>
      <c r="G713" s="38"/>
      <c r="H713" s="38"/>
      <c r="I713" s="38"/>
      <c r="J713" s="38"/>
      <c r="K713" s="38"/>
      <c r="M713" s="37"/>
      <c r="N713" s="37"/>
      <c r="O713" s="37"/>
      <c r="AD713" s="38"/>
      <c r="AE713" s="38"/>
      <c r="AF713" s="38"/>
      <c r="AG713" s="38"/>
      <c r="AH713" s="38"/>
      <c r="AJ713" s="39"/>
    </row>
    <row r="714" spans="4:36" s="36" customFormat="1" x14ac:dyDescent="0.25">
      <c r="D714" s="37"/>
      <c r="E714" s="38"/>
      <c r="F714" s="38"/>
      <c r="G714" s="38"/>
      <c r="H714" s="38"/>
      <c r="I714" s="38"/>
      <c r="J714" s="38"/>
      <c r="K714" s="38"/>
      <c r="M714" s="37"/>
      <c r="N714" s="37"/>
      <c r="O714" s="37"/>
      <c r="AD714" s="38"/>
      <c r="AE714" s="38"/>
      <c r="AF714" s="38"/>
      <c r="AG714" s="38"/>
      <c r="AH714" s="38"/>
      <c r="AJ714" s="39"/>
    </row>
    <row r="715" spans="4:36" s="36" customFormat="1" x14ac:dyDescent="0.25">
      <c r="D715" s="37"/>
      <c r="E715" s="38"/>
      <c r="F715" s="38"/>
      <c r="G715" s="38"/>
      <c r="H715" s="38"/>
      <c r="I715" s="38"/>
      <c r="J715" s="38"/>
      <c r="K715" s="38"/>
      <c r="M715" s="37"/>
      <c r="N715" s="37"/>
      <c r="O715" s="37"/>
      <c r="AD715" s="38"/>
      <c r="AE715" s="38"/>
      <c r="AF715" s="38"/>
      <c r="AG715" s="38"/>
      <c r="AH715" s="38"/>
      <c r="AJ715" s="39"/>
    </row>
    <row r="716" spans="4:36" s="36" customFormat="1" x14ac:dyDescent="0.25">
      <c r="D716" s="37"/>
      <c r="E716" s="38"/>
      <c r="F716" s="38"/>
      <c r="G716" s="38"/>
      <c r="H716" s="38"/>
      <c r="I716" s="38"/>
      <c r="J716" s="38"/>
      <c r="K716" s="38"/>
      <c r="M716" s="37"/>
      <c r="N716" s="37"/>
      <c r="O716" s="37"/>
      <c r="AD716" s="38"/>
      <c r="AE716" s="38"/>
      <c r="AF716" s="38"/>
      <c r="AG716" s="38"/>
      <c r="AH716" s="38"/>
      <c r="AJ716" s="39"/>
    </row>
    <row r="717" spans="4:36" s="36" customFormat="1" x14ac:dyDescent="0.25">
      <c r="D717" s="37"/>
      <c r="E717" s="38"/>
      <c r="F717" s="38"/>
      <c r="G717" s="38"/>
      <c r="H717" s="38"/>
      <c r="I717" s="38"/>
      <c r="J717" s="38"/>
      <c r="K717" s="38"/>
      <c r="M717" s="37"/>
      <c r="N717" s="37"/>
      <c r="O717" s="37"/>
      <c r="AD717" s="38"/>
      <c r="AE717" s="38"/>
      <c r="AF717" s="38"/>
      <c r="AG717" s="38"/>
      <c r="AH717" s="38"/>
      <c r="AJ717" s="39"/>
    </row>
    <row r="718" spans="4:36" s="36" customFormat="1" x14ac:dyDescent="0.25">
      <c r="D718" s="37"/>
      <c r="E718" s="38"/>
      <c r="F718" s="38"/>
      <c r="G718" s="38"/>
      <c r="H718" s="38"/>
      <c r="I718" s="38"/>
      <c r="J718" s="38"/>
      <c r="K718" s="38"/>
      <c r="M718" s="37"/>
      <c r="N718" s="37"/>
      <c r="O718" s="37"/>
      <c r="AD718" s="38"/>
      <c r="AE718" s="38"/>
      <c r="AF718" s="38"/>
      <c r="AG718" s="38"/>
      <c r="AH718" s="38"/>
      <c r="AJ718" s="39"/>
    </row>
    <row r="719" spans="4:36" s="36" customFormat="1" x14ac:dyDescent="0.25">
      <c r="D719" s="37"/>
      <c r="E719" s="38"/>
      <c r="F719" s="38"/>
      <c r="G719" s="38"/>
      <c r="H719" s="38"/>
      <c r="I719" s="38"/>
      <c r="J719" s="38"/>
      <c r="K719" s="38"/>
      <c r="M719" s="37"/>
      <c r="N719" s="37"/>
      <c r="O719" s="37"/>
      <c r="AD719" s="38"/>
      <c r="AE719" s="38"/>
      <c r="AF719" s="38"/>
      <c r="AG719" s="38"/>
      <c r="AH719" s="38"/>
      <c r="AJ719" s="39"/>
    </row>
    <row r="720" spans="4:36" s="36" customFormat="1" x14ac:dyDescent="0.25">
      <c r="D720" s="37"/>
      <c r="E720" s="38"/>
      <c r="F720" s="38"/>
      <c r="G720" s="38"/>
      <c r="H720" s="38"/>
      <c r="I720" s="38"/>
      <c r="J720" s="38"/>
      <c r="K720" s="38"/>
      <c r="M720" s="37"/>
      <c r="N720" s="37"/>
      <c r="O720" s="37"/>
      <c r="AD720" s="38"/>
      <c r="AE720" s="38"/>
      <c r="AF720" s="38"/>
      <c r="AG720" s="38"/>
      <c r="AH720" s="38"/>
      <c r="AJ720" s="39"/>
    </row>
    <row r="721" spans="4:36" s="36" customFormat="1" x14ac:dyDescent="0.25">
      <c r="D721" s="37"/>
      <c r="E721" s="38"/>
      <c r="F721" s="38"/>
      <c r="G721" s="38"/>
      <c r="H721" s="38"/>
      <c r="I721" s="38"/>
      <c r="J721" s="38"/>
      <c r="K721" s="38"/>
      <c r="M721" s="37"/>
      <c r="N721" s="37"/>
      <c r="O721" s="37"/>
      <c r="AD721" s="38"/>
      <c r="AE721" s="38"/>
      <c r="AF721" s="38"/>
      <c r="AG721" s="38"/>
      <c r="AH721" s="38"/>
      <c r="AJ721" s="39"/>
    </row>
    <row r="722" spans="4:36" s="36" customFormat="1" x14ac:dyDescent="0.25">
      <c r="D722" s="37"/>
      <c r="E722" s="38"/>
      <c r="F722" s="38"/>
      <c r="G722" s="38"/>
      <c r="H722" s="38"/>
      <c r="I722" s="38"/>
      <c r="J722" s="38"/>
      <c r="K722" s="38"/>
      <c r="M722" s="37"/>
      <c r="N722" s="37"/>
      <c r="O722" s="37"/>
      <c r="AD722" s="38"/>
      <c r="AE722" s="38"/>
      <c r="AF722" s="38"/>
      <c r="AG722" s="38"/>
      <c r="AH722" s="38"/>
      <c r="AJ722" s="39"/>
    </row>
    <row r="723" spans="4:36" s="36" customFormat="1" x14ac:dyDescent="0.25">
      <c r="D723" s="37"/>
      <c r="E723" s="38"/>
      <c r="F723" s="38"/>
      <c r="G723" s="38"/>
      <c r="H723" s="38"/>
      <c r="I723" s="38"/>
      <c r="J723" s="38"/>
      <c r="K723" s="38"/>
      <c r="M723" s="37"/>
      <c r="N723" s="37"/>
      <c r="O723" s="37"/>
      <c r="AD723" s="38"/>
      <c r="AE723" s="38"/>
      <c r="AF723" s="38"/>
      <c r="AG723" s="38"/>
      <c r="AH723" s="38"/>
      <c r="AJ723" s="39"/>
    </row>
    <row r="724" spans="4:36" s="36" customFormat="1" x14ac:dyDescent="0.25">
      <c r="D724" s="37"/>
      <c r="E724" s="38"/>
      <c r="F724" s="38"/>
      <c r="G724" s="38"/>
      <c r="H724" s="38"/>
      <c r="I724" s="38"/>
      <c r="J724" s="38"/>
      <c r="K724" s="38"/>
      <c r="M724" s="37"/>
      <c r="N724" s="37"/>
      <c r="O724" s="37"/>
      <c r="AD724" s="38"/>
      <c r="AE724" s="38"/>
      <c r="AF724" s="38"/>
      <c r="AG724" s="38"/>
      <c r="AH724" s="38"/>
      <c r="AJ724" s="39"/>
    </row>
    <row r="725" spans="4:36" s="36" customFormat="1" x14ac:dyDescent="0.25">
      <c r="D725" s="37"/>
      <c r="E725" s="38"/>
      <c r="F725" s="38"/>
      <c r="G725" s="38"/>
      <c r="H725" s="38"/>
      <c r="I725" s="38"/>
      <c r="J725" s="38"/>
      <c r="K725" s="38"/>
      <c r="M725" s="37"/>
      <c r="N725" s="37"/>
      <c r="O725" s="37"/>
      <c r="AD725" s="38"/>
      <c r="AE725" s="38"/>
      <c r="AF725" s="38"/>
      <c r="AG725" s="38"/>
      <c r="AH725" s="38"/>
      <c r="AJ725" s="39"/>
    </row>
    <row r="726" spans="4:36" s="36" customFormat="1" x14ac:dyDescent="0.25">
      <c r="D726" s="37"/>
      <c r="E726" s="38"/>
      <c r="F726" s="38"/>
      <c r="G726" s="38"/>
      <c r="H726" s="38"/>
      <c r="I726" s="38"/>
      <c r="J726" s="38"/>
      <c r="K726" s="38"/>
      <c r="M726" s="37"/>
      <c r="N726" s="37"/>
      <c r="O726" s="37"/>
      <c r="AD726" s="38"/>
      <c r="AE726" s="38"/>
      <c r="AF726" s="38"/>
      <c r="AG726" s="38"/>
      <c r="AH726" s="38"/>
      <c r="AJ726" s="39"/>
    </row>
    <row r="727" spans="4:36" s="36" customFormat="1" x14ac:dyDescent="0.25">
      <c r="D727" s="37"/>
      <c r="E727" s="38"/>
      <c r="F727" s="38"/>
      <c r="G727" s="38"/>
      <c r="H727" s="38"/>
      <c r="I727" s="38"/>
      <c r="J727" s="38"/>
      <c r="K727" s="38"/>
      <c r="M727" s="37"/>
      <c r="N727" s="37"/>
      <c r="O727" s="37"/>
      <c r="AD727" s="38"/>
      <c r="AE727" s="38"/>
      <c r="AF727" s="38"/>
      <c r="AG727" s="38"/>
      <c r="AH727" s="38"/>
      <c r="AJ727" s="39"/>
    </row>
    <row r="728" spans="4:36" s="36" customFormat="1" x14ac:dyDescent="0.25">
      <c r="D728" s="37"/>
      <c r="E728" s="38"/>
      <c r="F728" s="38"/>
      <c r="G728" s="38"/>
      <c r="H728" s="38"/>
      <c r="I728" s="38"/>
      <c r="J728" s="38"/>
      <c r="K728" s="38"/>
      <c r="M728" s="37"/>
      <c r="N728" s="37"/>
      <c r="O728" s="37"/>
      <c r="AD728" s="38"/>
      <c r="AE728" s="38"/>
      <c r="AF728" s="38"/>
      <c r="AG728" s="38"/>
      <c r="AH728" s="38"/>
      <c r="AJ728" s="39"/>
    </row>
    <row r="729" spans="4:36" s="36" customFormat="1" x14ac:dyDescent="0.25">
      <c r="D729" s="37"/>
      <c r="E729" s="38"/>
      <c r="F729" s="38"/>
      <c r="G729" s="38"/>
      <c r="H729" s="38"/>
      <c r="I729" s="38"/>
      <c r="J729" s="38"/>
      <c r="K729" s="38"/>
      <c r="M729" s="37"/>
      <c r="N729" s="37"/>
      <c r="O729" s="37"/>
      <c r="AD729" s="38"/>
      <c r="AE729" s="38"/>
      <c r="AF729" s="38"/>
      <c r="AG729" s="38"/>
      <c r="AH729" s="38"/>
      <c r="AJ729" s="39"/>
    </row>
    <row r="730" spans="4:36" s="36" customFormat="1" x14ac:dyDescent="0.25">
      <c r="D730" s="37"/>
      <c r="E730" s="38"/>
      <c r="F730" s="38"/>
      <c r="G730" s="38"/>
      <c r="H730" s="38"/>
      <c r="I730" s="38"/>
      <c r="J730" s="38"/>
      <c r="K730" s="38"/>
      <c r="M730" s="37"/>
      <c r="N730" s="37"/>
      <c r="O730" s="37"/>
      <c r="AD730" s="38"/>
      <c r="AE730" s="38"/>
      <c r="AF730" s="38"/>
      <c r="AG730" s="38"/>
      <c r="AH730" s="38"/>
      <c r="AJ730" s="39"/>
    </row>
    <row r="731" spans="4:36" s="36" customFormat="1" x14ac:dyDescent="0.25">
      <c r="D731" s="37"/>
      <c r="E731" s="38"/>
      <c r="F731" s="38"/>
      <c r="G731" s="38"/>
      <c r="H731" s="38"/>
      <c r="I731" s="38"/>
      <c r="J731" s="38"/>
      <c r="K731" s="38"/>
      <c r="M731" s="37"/>
      <c r="N731" s="37"/>
      <c r="O731" s="37"/>
      <c r="AD731" s="38"/>
      <c r="AE731" s="38"/>
      <c r="AF731" s="38"/>
      <c r="AG731" s="38"/>
      <c r="AH731" s="38"/>
      <c r="AJ731" s="39"/>
    </row>
    <row r="732" spans="4:36" s="36" customFormat="1" x14ac:dyDescent="0.25">
      <c r="D732" s="37"/>
      <c r="E732" s="38"/>
      <c r="F732" s="38"/>
      <c r="G732" s="38"/>
      <c r="H732" s="38"/>
      <c r="I732" s="38"/>
      <c r="J732" s="38"/>
      <c r="K732" s="38"/>
      <c r="M732" s="37"/>
      <c r="N732" s="37"/>
      <c r="O732" s="37"/>
      <c r="AD732" s="38"/>
      <c r="AE732" s="38"/>
      <c r="AF732" s="38"/>
      <c r="AG732" s="38"/>
      <c r="AH732" s="38"/>
      <c r="AJ732" s="39"/>
    </row>
    <row r="733" spans="4:36" s="36" customFormat="1" x14ac:dyDescent="0.25">
      <c r="D733" s="37"/>
      <c r="E733" s="38"/>
      <c r="F733" s="38"/>
      <c r="G733" s="38"/>
      <c r="H733" s="38"/>
      <c r="I733" s="38"/>
      <c r="J733" s="38"/>
      <c r="K733" s="38"/>
      <c r="M733" s="37"/>
      <c r="N733" s="37"/>
      <c r="O733" s="37"/>
      <c r="AD733" s="38"/>
      <c r="AE733" s="38"/>
      <c r="AF733" s="38"/>
      <c r="AG733" s="38"/>
      <c r="AH733" s="38"/>
      <c r="AJ733" s="39"/>
    </row>
    <row r="734" spans="4:36" s="36" customFormat="1" x14ac:dyDescent="0.25">
      <c r="D734" s="37"/>
      <c r="E734" s="38"/>
      <c r="F734" s="38"/>
      <c r="G734" s="38"/>
      <c r="H734" s="38"/>
      <c r="I734" s="38"/>
      <c r="J734" s="38"/>
      <c r="K734" s="38"/>
      <c r="M734" s="37"/>
      <c r="N734" s="37"/>
      <c r="O734" s="37"/>
      <c r="AD734" s="38"/>
      <c r="AE734" s="38"/>
      <c r="AF734" s="38"/>
      <c r="AG734" s="38"/>
      <c r="AH734" s="38"/>
      <c r="AJ734" s="39"/>
    </row>
    <row r="735" spans="4:36" s="36" customFormat="1" x14ac:dyDescent="0.25">
      <c r="D735" s="37"/>
      <c r="E735" s="38"/>
      <c r="F735" s="38"/>
      <c r="G735" s="38"/>
      <c r="H735" s="38"/>
      <c r="I735" s="38"/>
      <c r="J735" s="38"/>
      <c r="K735" s="38"/>
      <c r="M735" s="37"/>
      <c r="N735" s="37"/>
      <c r="O735" s="37"/>
      <c r="AD735" s="38"/>
      <c r="AE735" s="38"/>
      <c r="AF735" s="38"/>
      <c r="AG735" s="38"/>
      <c r="AH735" s="38"/>
      <c r="AJ735" s="39"/>
    </row>
    <row r="736" spans="4:36" s="36" customFormat="1" x14ac:dyDescent="0.25">
      <c r="D736" s="37"/>
      <c r="E736" s="38"/>
      <c r="F736" s="38"/>
      <c r="G736" s="38"/>
      <c r="H736" s="38"/>
      <c r="I736" s="38"/>
      <c r="J736" s="38"/>
      <c r="K736" s="38"/>
      <c r="M736" s="37"/>
      <c r="N736" s="37"/>
      <c r="O736" s="37"/>
      <c r="AD736" s="38"/>
      <c r="AE736" s="38"/>
      <c r="AF736" s="38"/>
      <c r="AG736" s="38"/>
      <c r="AH736" s="38"/>
      <c r="AJ736" s="39"/>
    </row>
    <row r="737" spans="4:36" s="36" customFormat="1" x14ac:dyDescent="0.25">
      <c r="D737" s="37"/>
      <c r="E737" s="38"/>
      <c r="F737" s="38"/>
      <c r="G737" s="38"/>
      <c r="H737" s="38"/>
      <c r="I737" s="38"/>
      <c r="J737" s="38"/>
      <c r="K737" s="38"/>
      <c r="M737" s="37"/>
      <c r="N737" s="37"/>
      <c r="O737" s="37"/>
      <c r="AD737" s="38"/>
      <c r="AE737" s="38"/>
      <c r="AF737" s="38"/>
      <c r="AG737" s="38"/>
      <c r="AH737" s="38"/>
      <c r="AJ737" s="39"/>
    </row>
    <row r="738" spans="4:36" s="36" customFormat="1" x14ac:dyDescent="0.25">
      <c r="D738" s="37"/>
      <c r="E738" s="38"/>
      <c r="F738" s="38"/>
      <c r="G738" s="38"/>
      <c r="H738" s="38"/>
      <c r="I738" s="38"/>
      <c r="J738" s="38"/>
      <c r="K738" s="38"/>
      <c r="M738" s="37"/>
      <c r="N738" s="37"/>
      <c r="O738" s="37"/>
      <c r="AD738" s="38"/>
      <c r="AE738" s="38"/>
      <c r="AF738" s="38"/>
      <c r="AG738" s="38"/>
      <c r="AH738" s="38"/>
      <c r="AJ738" s="39"/>
    </row>
    <row r="739" spans="4:36" s="36" customFormat="1" x14ac:dyDescent="0.25">
      <c r="D739" s="37"/>
      <c r="E739" s="38"/>
      <c r="F739" s="38"/>
      <c r="G739" s="38"/>
      <c r="H739" s="38"/>
      <c r="I739" s="38"/>
      <c r="J739" s="38"/>
      <c r="K739" s="38"/>
      <c r="M739" s="37"/>
      <c r="N739" s="37"/>
      <c r="O739" s="37"/>
      <c r="AD739" s="38"/>
      <c r="AE739" s="38"/>
      <c r="AF739" s="38"/>
      <c r="AG739" s="38"/>
      <c r="AH739" s="38"/>
      <c r="AJ739" s="39"/>
    </row>
    <row r="740" spans="4:36" s="36" customFormat="1" x14ac:dyDescent="0.25">
      <c r="D740" s="37"/>
      <c r="E740" s="38"/>
      <c r="F740" s="38"/>
      <c r="G740" s="38"/>
      <c r="H740" s="38"/>
      <c r="I740" s="38"/>
      <c r="J740" s="38"/>
      <c r="K740" s="38"/>
      <c r="M740" s="37"/>
      <c r="N740" s="37"/>
      <c r="O740" s="37"/>
      <c r="AD740" s="38"/>
      <c r="AE740" s="38"/>
      <c r="AF740" s="38"/>
      <c r="AG740" s="38"/>
      <c r="AH740" s="38"/>
      <c r="AJ740" s="39"/>
    </row>
    <row r="741" spans="4:36" s="36" customFormat="1" x14ac:dyDescent="0.25">
      <c r="D741" s="37"/>
      <c r="E741" s="38"/>
      <c r="F741" s="38"/>
      <c r="G741" s="38"/>
      <c r="H741" s="38"/>
      <c r="I741" s="38"/>
      <c r="J741" s="38"/>
      <c r="K741" s="38"/>
      <c r="M741" s="37"/>
      <c r="N741" s="37"/>
      <c r="O741" s="37"/>
      <c r="AD741" s="38"/>
      <c r="AE741" s="38"/>
      <c r="AF741" s="38"/>
      <c r="AG741" s="38"/>
      <c r="AH741" s="38"/>
      <c r="AJ741" s="39"/>
    </row>
    <row r="742" spans="4:36" s="36" customFormat="1" x14ac:dyDescent="0.25">
      <c r="D742" s="37"/>
      <c r="E742" s="38"/>
      <c r="F742" s="38"/>
      <c r="G742" s="38"/>
      <c r="H742" s="38"/>
      <c r="I742" s="38"/>
      <c r="J742" s="38"/>
      <c r="K742" s="38"/>
      <c r="M742" s="37"/>
      <c r="N742" s="37"/>
      <c r="O742" s="37"/>
      <c r="AD742" s="38"/>
      <c r="AE742" s="38"/>
      <c r="AF742" s="38"/>
      <c r="AG742" s="38"/>
      <c r="AH742" s="38"/>
      <c r="AJ742" s="39"/>
    </row>
    <row r="743" spans="4:36" s="36" customFormat="1" x14ac:dyDescent="0.25">
      <c r="D743" s="37"/>
      <c r="E743" s="38"/>
      <c r="F743" s="38"/>
      <c r="G743" s="38"/>
      <c r="H743" s="38"/>
      <c r="I743" s="38"/>
      <c r="J743" s="38"/>
      <c r="K743" s="38"/>
      <c r="M743" s="37"/>
      <c r="N743" s="37"/>
      <c r="O743" s="37"/>
      <c r="AD743" s="38"/>
      <c r="AE743" s="38"/>
      <c r="AF743" s="38"/>
      <c r="AG743" s="38"/>
      <c r="AH743" s="38"/>
      <c r="AJ743" s="39"/>
    </row>
    <row r="744" spans="4:36" s="36" customFormat="1" x14ac:dyDescent="0.25">
      <c r="D744" s="37"/>
      <c r="E744" s="38"/>
      <c r="F744" s="38"/>
      <c r="G744" s="38"/>
      <c r="H744" s="38"/>
      <c r="I744" s="38"/>
      <c r="J744" s="38"/>
      <c r="K744" s="38"/>
      <c r="M744" s="37"/>
      <c r="N744" s="37"/>
      <c r="O744" s="37"/>
      <c r="AD744" s="38"/>
      <c r="AE744" s="38"/>
      <c r="AF744" s="38"/>
      <c r="AG744" s="38"/>
      <c r="AH744" s="38"/>
      <c r="AJ744" s="39"/>
    </row>
    <row r="745" spans="4:36" s="36" customFormat="1" x14ac:dyDescent="0.25">
      <c r="D745" s="37"/>
      <c r="E745" s="38"/>
      <c r="F745" s="38"/>
      <c r="G745" s="38"/>
      <c r="H745" s="38"/>
      <c r="I745" s="38"/>
      <c r="J745" s="38"/>
      <c r="K745" s="38"/>
      <c r="M745" s="37"/>
      <c r="N745" s="37"/>
      <c r="O745" s="37"/>
      <c r="AD745" s="38"/>
      <c r="AE745" s="38"/>
      <c r="AF745" s="38"/>
      <c r="AG745" s="38"/>
      <c r="AH745" s="38"/>
      <c r="AJ745" s="39"/>
    </row>
    <row r="746" spans="4:36" s="36" customFormat="1" x14ac:dyDescent="0.25">
      <c r="D746" s="37"/>
      <c r="E746" s="38"/>
      <c r="F746" s="38"/>
      <c r="G746" s="38"/>
      <c r="H746" s="38"/>
      <c r="I746" s="38"/>
      <c r="J746" s="38"/>
      <c r="K746" s="38"/>
      <c r="M746" s="37"/>
      <c r="N746" s="37"/>
      <c r="O746" s="37"/>
      <c r="AD746" s="38"/>
      <c r="AE746" s="38"/>
      <c r="AF746" s="38"/>
      <c r="AG746" s="38"/>
      <c r="AH746" s="38"/>
      <c r="AJ746" s="39"/>
    </row>
    <row r="747" spans="4:36" s="36" customFormat="1" x14ac:dyDescent="0.25">
      <c r="D747" s="37"/>
      <c r="E747" s="38"/>
      <c r="F747" s="38"/>
      <c r="G747" s="38"/>
      <c r="H747" s="38"/>
      <c r="I747" s="38"/>
      <c r="J747" s="38"/>
      <c r="K747" s="38"/>
      <c r="M747" s="37"/>
      <c r="N747" s="37"/>
      <c r="O747" s="37"/>
      <c r="AD747" s="38"/>
      <c r="AE747" s="38"/>
      <c r="AF747" s="38"/>
      <c r="AG747" s="38"/>
      <c r="AH747" s="38"/>
      <c r="AJ747" s="39"/>
    </row>
    <row r="748" spans="4:36" s="36" customFormat="1" x14ac:dyDescent="0.25">
      <c r="D748" s="37"/>
      <c r="E748" s="38"/>
      <c r="F748" s="38"/>
      <c r="G748" s="38"/>
      <c r="H748" s="38"/>
      <c r="I748" s="38"/>
      <c r="J748" s="38"/>
      <c r="K748" s="38"/>
      <c r="M748" s="37"/>
      <c r="N748" s="37"/>
      <c r="O748" s="37"/>
      <c r="AD748" s="38"/>
      <c r="AE748" s="38"/>
      <c r="AF748" s="38"/>
      <c r="AG748" s="38"/>
      <c r="AH748" s="38"/>
      <c r="AJ748" s="39"/>
    </row>
    <row r="749" spans="4:36" s="36" customFormat="1" x14ac:dyDescent="0.25">
      <c r="D749" s="37"/>
      <c r="E749" s="38"/>
      <c r="F749" s="38"/>
      <c r="G749" s="38"/>
      <c r="H749" s="38"/>
      <c r="I749" s="38"/>
      <c r="J749" s="38"/>
      <c r="K749" s="38"/>
      <c r="M749" s="37"/>
      <c r="N749" s="37"/>
      <c r="O749" s="37"/>
      <c r="AD749" s="38"/>
      <c r="AE749" s="38"/>
      <c r="AF749" s="38"/>
      <c r="AG749" s="38"/>
      <c r="AH749" s="38"/>
      <c r="AJ749" s="39"/>
    </row>
    <row r="750" spans="4:36" s="36" customFormat="1" x14ac:dyDescent="0.25">
      <c r="D750" s="37"/>
      <c r="E750" s="38"/>
      <c r="F750" s="38"/>
      <c r="G750" s="38"/>
      <c r="H750" s="38"/>
      <c r="I750" s="38"/>
      <c r="J750" s="38"/>
      <c r="K750" s="38"/>
      <c r="M750" s="37"/>
      <c r="N750" s="37"/>
      <c r="O750" s="37"/>
      <c r="AD750" s="38"/>
      <c r="AE750" s="38"/>
      <c r="AF750" s="38"/>
      <c r="AG750" s="38"/>
      <c r="AH750" s="38"/>
      <c r="AJ750" s="39"/>
    </row>
    <row r="751" spans="4:36" s="36" customFormat="1" x14ac:dyDescent="0.25">
      <c r="D751" s="37"/>
      <c r="E751" s="38"/>
      <c r="F751" s="38"/>
      <c r="G751" s="38"/>
      <c r="H751" s="38"/>
      <c r="I751" s="38"/>
      <c r="J751" s="38"/>
      <c r="K751" s="38"/>
      <c r="M751" s="37"/>
      <c r="N751" s="37"/>
      <c r="O751" s="37"/>
      <c r="AD751" s="38"/>
      <c r="AE751" s="38"/>
      <c r="AF751" s="38"/>
      <c r="AG751" s="38"/>
      <c r="AH751" s="38"/>
      <c r="AJ751" s="39"/>
    </row>
    <row r="752" spans="4:36" s="36" customFormat="1" x14ac:dyDescent="0.25">
      <c r="D752" s="37"/>
      <c r="E752" s="38"/>
      <c r="F752" s="38"/>
      <c r="G752" s="38"/>
      <c r="H752" s="38"/>
      <c r="I752" s="38"/>
      <c r="J752" s="38"/>
      <c r="K752" s="38"/>
      <c r="M752" s="37"/>
      <c r="N752" s="37"/>
      <c r="O752" s="37"/>
      <c r="AD752" s="38"/>
      <c r="AE752" s="38"/>
      <c r="AF752" s="38"/>
      <c r="AG752" s="38"/>
      <c r="AH752" s="38"/>
      <c r="AJ752" s="39"/>
    </row>
    <row r="753" spans="4:36" s="36" customFormat="1" x14ac:dyDescent="0.25">
      <c r="D753" s="37"/>
      <c r="E753" s="38"/>
      <c r="F753" s="38"/>
      <c r="G753" s="38"/>
      <c r="H753" s="38"/>
      <c r="I753" s="38"/>
      <c r="J753" s="38"/>
      <c r="K753" s="38"/>
      <c r="M753" s="37"/>
      <c r="N753" s="37"/>
      <c r="O753" s="37"/>
      <c r="AD753" s="38"/>
      <c r="AE753" s="38"/>
      <c r="AF753" s="38"/>
      <c r="AG753" s="38"/>
      <c r="AH753" s="38"/>
      <c r="AJ753" s="39"/>
    </row>
    <row r="754" spans="4:36" s="36" customFormat="1" x14ac:dyDescent="0.25">
      <c r="D754" s="37"/>
      <c r="E754" s="38"/>
      <c r="F754" s="38"/>
      <c r="G754" s="38"/>
      <c r="H754" s="38"/>
      <c r="I754" s="38"/>
      <c r="J754" s="38"/>
      <c r="K754" s="38"/>
      <c r="M754" s="37"/>
      <c r="N754" s="37"/>
      <c r="O754" s="37"/>
      <c r="AD754" s="38"/>
      <c r="AE754" s="38"/>
      <c r="AF754" s="38"/>
      <c r="AG754" s="38"/>
      <c r="AH754" s="38"/>
      <c r="AJ754" s="39"/>
    </row>
    <row r="755" spans="4:36" s="36" customFormat="1" x14ac:dyDescent="0.25">
      <c r="D755" s="37"/>
      <c r="E755" s="38"/>
      <c r="F755" s="38"/>
      <c r="G755" s="38"/>
      <c r="H755" s="38"/>
      <c r="I755" s="38"/>
      <c r="J755" s="38"/>
      <c r="K755" s="38"/>
      <c r="M755" s="37"/>
      <c r="N755" s="37"/>
      <c r="O755" s="37"/>
      <c r="AD755" s="38"/>
      <c r="AE755" s="38"/>
      <c r="AF755" s="38"/>
      <c r="AG755" s="38"/>
      <c r="AH755" s="38"/>
      <c r="AJ755" s="39"/>
    </row>
    <row r="756" spans="4:36" s="36" customFormat="1" x14ac:dyDescent="0.25">
      <c r="D756" s="37"/>
      <c r="E756" s="38"/>
      <c r="F756" s="38"/>
      <c r="G756" s="38"/>
      <c r="H756" s="38"/>
      <c r="I756" s="38"/>
      <c r="J756" s="38"/>
      <c r="K756" s="38"/>
      <c r="M756" s="37"/>
      <c r="N756" s="37"/>
      <c r="O756" s="37"/>
      <c r="AD756" s="38"/>
      <c r="AE756" s="38"/>
      <c r="AF756" s="38"/>
      <c r="AG756" s="38"/>
      <c r="AH756" s="38"/>
      <c r="AJ756" s="39"/>
    </row>
    <row r="757" spans="4:36" s="36" customFormat="1" x14ac:dyDescent="0.25">
      <c r="D757" s="37"/>
      <c r="E757" s="38"/>
      <c r="F757" s="38"/>
      <c r="G757" s="38"/>
      <c r="H757" s="38"/>
      <c r="I757" s="38"/>
      <c r="J757" s="38"/>
      <c r="K757" s="38"/>
      <c r="M757" s="37"/>
      <c r="N757" s="37"/>
      <c r="O757" s="37"/>
      <c r="AD757" s="38"/>
      <c r="AE757" s="38"/>
      <c r="AF757" s="38"/>
      <c r="AG757" s="38"/>
      <c r="AH757" s="38"/>
      <c r="AJ757" s="39"/>
    </row>
    <row r="758" spans="4:36" s="36" customFormat="1" x14ac:dyDescent="0.25">
      <c r="D758" s="37"/>
      <c r="E758" s="38"/>
      <c r="F758" s="38"/>
      <c r="G758" s="38"/>
      <c r="H758" s="38"/>
      <c r="I758" s="38"/>
      <c r="J758" s="38"/>
      <c r="K758" s="38"/>
      <c r="M758" s="37"/>
      <c r="N758" s="37"/>
      <c r="O758" s="37"/>
      <c r="AD758" s="38"/>
      <c r="AE758" s="38"/>
      <c r="AF758" s="38"/>
      <c r="AG758" s="38"/>
      <c r="AH758" s="38"/>
      <c r="AJ758" s="39"/>
    </row>
    <row r="759" spans="4:36" s="36" customFormat="1" x14ac:dyDescent="0.25">
      <c r="D759" s="37"/>
      <c r="E759" s="38"/>
      <c r="F759" s="38"/>
      <c r="G759" s="38"/>
      <c r="H759" s="38"/>
      <c r="I759" s="38"/>
      <c r="J759" s="38"/>
      <c r="K759" s="38"/>
      <c r="M759" s="37"/>
      <c r="N759" s="37"/>
      <c r="O759" s="37"/>
      <c r="AD759" s="38"/>
      <c r="AE759" s="38"/>
      <c r="AF759" s="38"/>
      <c r="AG759" s="38"/>
      <c r="AH759" s="38"/>
      <c r="AJ759" s="39"/>
    </row>
    <row r="760" spans="4:36" s="36" customFormat="1" x14ac:dyDescent="0.25">
      <c r="D760" s="37"/>
      <c r="E760" s="38"/>
      <c r="F760" s="38"/>
      <c r="G760" s="38"/>
      <c r="H760" s="38"/>
      <c r="I760" s="38"/>
      <c r="J760" s="38"/>
      <c r="K760" s="38"/>
      <c r="M760" s="37"/>
      <c r="N760" s="37"/>
      <c r="O760" s="37"/>
      <c r="AD760" s="38"/>
      <c r="AE760" s="38"/>
      <c r="AF760" s="38"/>
      <c r="AG760" s="38"/>
      <c r="AH760" s="38"/>
      <c r="AJ760" s="39"/>
    </row>
    <row r="761" spans="4:36" s="36" customFormat="1" x14ac:dyDescent="0.25">
      <c r="D761" s="37"/>
      <c r="E761" s="38"/>
      <c r="F761" s="38"/>
      <c r="G761" s="38"/>
      <c r="H761" s="38"/>
      <c r="I761" s="38"/>
      <c r="J761" s="38"/>
      <c r="K761" s="38"/>
      <c r="M761" s="37"/>
      <c r="N761" s="37"/>
      <c r="O761" s="37"/>
      <c r="AD761" s="38"/>
      <c r="AE761" s="38"/>
      <c r="AF761" s="38"/>
      <c r="AG761" s="38"/>
      <c r="AH761" s="38"/>
      <c r="AJ761" s="39"/>
    </row>
    <row r="762" spans="4:36" s="36" customFormat="1" x14ac:dyDescent="0.25">
      <c r="D762" s="37"/>
      <c r="E762" s="38"/>
      <c r="F762" s="38"/>
      <c r="G762" s="38"/>
      <c r="H762" s="38"/>
      <c r="I762" s="38"/>
      <c r="J762" s="38"/>
      <c r="K762" s="38"/>
      <c r="M762" s="37"/>
      <c r="N762" s="37"/>
      <c r="O762" s="37"/>
      <c r="AD762" s="38"/>
      <c r="AE762" s="38"/>
      <c r="AF762" s="38"/>
      <c r="AG762" s="38"/>
      <c r="AH762" s="38"/>
      <c r="AJ762" s="39"/>
    </row>
    <row r="763" spans="4:36" s="36" customFormat="1" x14ac:dyDescent="0.25">
      <c r="D763" s="37"/>
      <c r="E763" s="38"/>
      <c r="F763" s="38"/>
      <c r="G763" s="38"/>
      <c r="H763" s="38"/>
      <c r="I763" s="38"/>
      <c r="J763" s="38"/>
      <c r="K763" s="38"/>
      <c r="M763" s="37"/>
      <c r="N763" s="37"/>
      <c r="O763" s="37"/>
      <c r="AD763" s="38"/>
      <c r="AE763" s="38"/>
      <c r="AF763" s="38"/>
      <c r="AG763" s="38"/>
      <c r="AH763" s="38"/>
      <c r="AJ763" s="39"/>
    </row>
    <row r="764" spans="4:36" s="36" customFormat="1" x14ac:dyDescent="0.25">
      <c r="D764" s="37"/>
      <c r="E764" s="38"/>
      <c r="F764" s="38"/>
      <c r="G764" s="38"/>
      <c r="H764" s="38"/>
      <c r="I764" s="38"/>
      <c r="J764" s="38"/>
      <c r="K764" s="38"/>
      <c r="M764" s="37"/>
      <c r="N764" s="37"/>
      <c r="O764" s="37"/>
      <c r="AD764" s="38"/>
      <c r="AE764" s="38"/>
      <c r="AF764" s="38"/>
      <c r="AG764" s="38"/>
      <c r="AH764" s="38"/>
      <c r="AJ764" s="39"/>
    </row>
    <row r="765" spans="4:36" s="36" customFormat="1" x14ac:dyDescent="0.25">
      <c r="D765" s="37"/>
      <c r="E765" s="38"/>
      <c r="F765" s="38"/>
      <c r="G765" s="38"/>
      <c r="H765" s="38"/>
      <c r="I765" s="38"/>
      <c r="J765" s="38"/>
      <c r="K765" s="38"/>
      <c r="M765" s="37"/>
      <c r="N765" s="37"/>
      <c r="O765" s="37"/>
      <c r="AD765" s="38"/>
      <c r="AE765" s="38"/>
      <c r="AF765" s="38"/>
      <c r="AG765" s="38"/>
      <c r="AH765" s="38"/>
      <c r="AJ765" s="39"/>
    </row>
    <row r="766" spans="4:36" s="36" customFormat="1" x14ac:dyDescent="0.25">
      <c r="D766" s="37"/>
      <c r="E766" s="38"/>
      <c r="F766" s="38"/>
      <c r="G766" s="38"/>
      <c r="H766" s="38"/>
      <c r="I766" s="38"/>
      <c r="J766" s="38"/>
      <c r="K766" s="38"/>
      <c r="M766" s="37"/>
      <c r="N766" s="37"/>
      <c r="O766" s="37"/>
      <c r="AD766" s="38"/>
      <c r="AE766" s="38"/>
      <c r="AF766" s="38"/>
      <c r="AG766" s="38"/>
      <c r="AH766" s="38"/>
      <c r="AJ766" s="39"/>
    </row>
    <row r="767" spans="4:36" s="36" customFormat="1" x14ac:dyDescent="0.25">
      <c r="D767" s="37"/>
      <c r="E767" s="38"/>
      <c r="F767" s="38"/>
      <c r="G767" s="38"/>
      <c r="H767" s="38"/>
      <c r="I767" s="38"/>
      <c r="J767" s="38"/>
      <c r="K767" s="38"/>
      <c r="M767" s="37"/>
      <c r="N767" s="37"/>
      <c r="O767" s="37"/>
      <c r="AD767" s="38"/>
      <c r="AE767" s="38"/>
      <c r="AF767" s="38"/>
      <c r="AG767" s="38"/>
      <c r="AH767" s="38"/>
      <c r="AJ767" s="39"/>
    </row>
    <row r="768" spans="4:36" s="36" customFormat="1" x14ac:dyDescent="0.25">
      <c r="D768" s="37"/>
      <c r="E768" s="38"/>
      <c r="F768" s="38"/>
      <c r="G768" s="38"/>
      <c r="H768" s="38"/>
      <c r="I768" s="38"/>
      <c r="J768" s="38"/>
      <c r="K768" s="38"/>
      <c r="M768" s="37"/>
      <c r="N768" s="37"/>
      <c r="O768" s="37"/>
      <c r="AD768" s="38"/>
      <c r="AE768" s="38"/>
      <c r="AF768" s="38"/>
      <c r="AG768" s="38"/>
      <c r="AH768" s="38"/>
      <c r="AJ768" s="39"/>
    </row>
    <row r="769" spans="4:36" s="36" customFormat="1" x14ac:dyDescent="0.25">
      <c r="D769" s="37"/>
      <c r="E769" s="38"/>
      <c r="F769" s="38"/>
      <c r="G769" s="38"/>
      <c r="H769" s="38"/>
      <c r="I769" s="38"/>
      <c r="J769" s="38"/>
      <c r="K769" s="38"/>
      <c r="M769" s="37"/>
      <c r="N769" s="37"/>
      <c r="O769" s="37"/>
      <c r="AD769" s="38"/>
      <c r="AE769" s="38"/>
      <c r="AF769" s="38"/>
      <c r="AG769" s="38"/>
      <c r="AH769" s="38"/>
      <c r="AJ769" s="39"/>
    </row>
    <row r="770" spans="4:36" s="36" customFormat="1" x14ac:dyDescent="0.25">
      <c r="D770" s="37"/>
      <c r="E770" s="38"/>
      <c r="F770" s="38"/>
      <c r="G770" s="38"/>
      <c r="H770" s="38"/>
      <c r="I770" s="38"/>
      <c r="J770" s="38"/>
      <c r="K770" s="38"/>
      <c r="M770" s="37"/>
      <c r="N770" s="37"/>
      <c r="O770" s="37"/>
      <c r="AD770" s="38"/>
      <c r="AE770" s="38"/>
      <c r="AF770" s="38"/>
      <c r="AG770" s="38"/>
      <c r="AH770" s="38"/>
      <c r="AJ770" s="39"/>
    </row>
    <row r="771" spans="4:36" s="36" customFormat="1" x14ac:dyDescent="0.25">
      <c r="D771" s="37"/>
      <c r="E771" s="38"/>
      <c r="F771" s="38"/>
      <c r="G771" s="38"/>
      <c r="H771" s="38"/>
      <c r="I771" s="38"/>
      <c r="J771" s="38"/>
      <c r="K771" s="38"/>
      <c r="M771" s="37"/>
      <c r="N771" s="37"/>
      <c r="O771" s="37"/>
      <c r="AD771" s="38"/>
      <c r="AE771" s="38"/>
      <c r="AF771" s="38"/>
      <c r="AG771" s="38"/>
      <c r="AH771" s="38"/>
      <c r="AJ771" s="39"/>
    </row>
    <row r="772" spans="4:36" s="36" customFormat="1" x14ac:dyDescent="0.25">
      <c r="D772" s="37"/>
      <c r="E772" s="38"/>
      <c r="F772" s="38"/>
      <c r="G772" s="38"/>
      <c r="H772" s="38"/>
      <c r="I772" s="38"/>
      <c r="J772" s="38"/>
      <c r="K772" s="38"/>
      <c r="M772" s="37"/>
      <c r="N772" s="37"/>
      <c r="O772" s="37"/>
      <c r="AD772" s="38"/>
      <c r="AE772" s="38"/>
      <c r="AF772" s="38"/>
      <c r="AG772" s="38"/>
      <c r="AH772" s="38"/>
      <c r="AJ772" s="39"/>
    </row>
    <row r="773" spans="4:36" s="36" customFormat="1" x14ac:dyDescent="0.25">
      <c r="D773" s="37"/>
      <c r="E773" s="38"/>
      <c r="F773" s="38"/>
      <c r="G773" s="38"/>
      <c r="H773" s="38"/>
      <c r="I773" s="38"/>
      <c r="J773" s="38"/>
      <c r="K773" s="38"/>
      <c r="M773" s="37"/>
      <c r="N773" s="37"/>
      <c r="O773" s="37"/>
      <c r="AD773" s="38"/>
      <c r="AE773" s="38"/>
      <c r="AF773" s="38"/>
      <c r="AG773" s="38"/>
      <c r="AH773" s="38"/>
      <c r="AJ773" s="39"/>
    </row>
    <row r="774" spans="4:36" s="36" customFormat="1" x14ac:dyDescent="0.25">
      <c r="D774" s="37"/>
      <c r="E774" s="38"/>
      <c r="F774" s="38"/>
      <c r="G774" s="38"/>
      <c r="H774" s="38"/>
      <c r="I774" s="38"/>
      <c r="J774" s="38"/>
      <c r="K774" s="38"/>
      <c r="M774" s="37"/>
      <c r="N774" s="37"/>
      <c r="O774" s="37"/>
      <c r="AD774" s="38"/>
      <c r="AE774" s="38"/>
      <c r="AF774" s="38"/>
      <c r="AG774" s="38"/>
      <c r="AH774" s="38"/>
      <c r="AJ774" s="39"/>
    </row>
    <row r="775" spans="4:36" s="36" customFormat="1" x14ac:dyDescent="0.25">
      <c r="D775" s="37"/>
      <c r="E775" s="38"/>
      <c r="F775" s="38"/>
      <c r="G775" s="38"/>
      <c r="H775" s="38"/>
      <c r="I775" s="38"/>
      <c r="J775" s="38"/>
      <c r="K775" s="38"/>
      <c r="M775" s="37"/>
      <c r="N775" s="37"/>
      <c r="O775" s="37"/>
      <c r="AD775" s="38"/>
      <c r="AE775" s="38"/>
      <c r="AF775" s="38"/>
      <c r="AG775" s="38"/>
      <c r="AH775" s="38"/>
      <c r="AJ775" s="39"/>
    </row>
    <row r="776" spans="4:36" s="36" customFormat="1" x14ac:dyDescent="0.25">
      <c r="D776" s="37"/>
      <c r="E776" s="38"/>
      <c r="F776" s="38"/>
      <c r="G776" s="38"/>
      <c r="H776" s="38"/>
      <c r="I776" s="38"/>
      <c r="J776" s="38"/>
      <c r="K776" s="38"/>
      <c r="M776" s="37"/>
      <c r="N776" s="37"/>
      <c r="O776" s="37"/>
      <c r="AD776" s="38"/>
      <c r="AE776" s="38"/>
      <c r="AF776" s="38"/>
      <c r="AG776" s="38"/>
      <c r="AH776" s="38"/>
      <c r="AJ776" s="39"/>
    </row>
    <row r="777" spans="4:36" s="36" customFormat="1" x14ac:dyDescent="0.25">
      <c r="D777" s="37"/>
      <c r="E777" s="38"/>
      <c r="F777" s="38"/>
      <c r="G777" s="38"/>
      <c r="H777" s="38"/>
      <c r="I777" s="38"/>
      <c r="J777" s="38"/>
      <c r="K777" s="38"/>
      <c r="M777" s="37"/>
      <c r="N777" s="37"/>
      <c r="O777" s="37"/>
      <c r="AD777" s="38"/>
      <c r="AE777" s="38"/>
      <c r="AF777" s="38"/>
      <c r="AG777" s="38"/>
      <c r="AH777" s="38"/>
      <c r="AJ777" s="39"/>
    </row>
    <row r="778" spans="4:36" s="36" customFormat="1" x14ac:dyDescent="0.25">
      <c r="D778" s="37"/>
      <c r="E778" s="38"/>
      <c r="F778" s="38"/>
      <c r="G778" s="38"/>
      <c r="H778" s="38"/>
      <c r="I778" s="38"/>
      <c r="J778" s="38"/>
      <c r="K778" s="38"/>
      <c r="M778" s="37"/>
      <c r="N778" s="37"/>
      <c r="O778" s="37"/>
      <c r="AD778" s="38"/>
      <c r="AE778" s="38"/>
      <c r="AF778" s="38"/>
      <c r="AG778" s="38"/>
      <c r="AH778" s="38"/>
      <c r="AJ778" s="39"/>
    </row>
    <row r="779" spans="4:36" s="36" customFormat="1" x14ac:dyDescent="0.25">
      <c r="D779" s="37"/>
      <c r="E779" s="38"/>
      <c r="F779" s="38"/>
      <c r="G779" s="38"/>
      <c r="H779" s="38"/>
      <c r="I779" s="38"/>
      <c r="J779" s="38"/>
      <c r="K779" s="38"/>
      <c r="M779" s="37"/>
      <c r="N779" s="37"/>
      <c r="O779" s="37"/>
      <c r="AD779" s="38"/>
      <c r="AE779" s="38"/>
      <c r="AF779" s="38"/>
      <c r="AG779" s="38"/>
      <c r="AH779" s="38"/>
      <c r="AJ779" s="39"/>
    </row>
    <row r="780" spans="4:36" s="36" customFormat="1" x14ac:dyDescent="0.25">
      <c r="D780" s="37"/>
      <c r="E780" s="38"/>
      <c r="F780" s="38"/>
      <c r="G780" s="38"/>
      <c r="H780" s="38"/>
      <c r="I780" s="38"/>
      <c r="J780" s="38"/>
      <c r="K780" s="38"/>
      <c r="M780" s="37"/>
      <c r="N780" s="37"/>
      <c r="O780" s="37"/>
      <c r="AD780" s="38"/>
      <c r="AE780" s="38"/>
      <c r="AF780" s="38"/>
      <c r="AG780" s="38"/>
      <c r="AH780" s="38"/>
      <c r="AJ780" s="39"/>
    </row>
    <row r="781" spans="4:36" s="36" customFormat="1" x14ac:dyDescent="0.25">
      <c r="D781" s="37"/>
      <c r="E781" s="38"/>
      <c r="F781" s="38"/>
      <c r="G781" s="38"/>
      <c r="H781" s="38"/>
      <c r="I781" s="38"/>
      <c r="J781" s="38"/>
      <c r="K781" s="38"/>
      <c r="M781" s="37"/>
      <c r="N781" s="37"/>
      <c r="O781" s="37"/>
      <c r="AD781" s="38"/>
      <c r="AE781" s="38"/>
      <c r="AF781" s="38"/>
      <c r="AG781" s="38"/>
      <c r="AH781" s="38"/>
      <c r="AJ781" s="39"/>
    </row>
    <row r="782" spans="4:36" s="36" customFormat="1" x14ac:dyDescent="0.25">
      <c r="D782" s="37"/>
      <c r="E782" s="38"/>
      <c r="F782" s="38"/>
      <c r="G782" s="38"/>
      <c r="H782" s="38"/>
      <c r="I782" s="38"/>
      <c r="J782" s="38"/>
      <c r="K782" s="38"/>
      <c r="M782" s="37"/>
      <c r="N782" s="37"/>
      <c r="O782" s="37"/>
      <c r="AD782" s="38"/>
      <c r="AE782" s="38"/>
      <c r="AF782" s="38"/>
      <c r="AG782" s="38"/>
      <c r="AH782" s="38"/>
      <c r="AJ782" s="39"/>
    </row>
    <row r="783" spans="4:36" s="36" customFormat="1" x14ac:dyDescent="0.25">
      <c r="D783" s="37"/>
      <c r="E783" s="38"/>
      <c r="F783" s="38"/>
      <c r="G783" s="38"/>
      <c r="H783" s="38"/>
      <c r="I783" s="38"/>
      <c r="J783" s="38"/>
      <c r="K783" s="38"/>
      <c r="M783" s="37"/>
      <c r="N783" s="37"/>
      <c r="O783" s="37"/>
      <c r="AD783" s="38"/>
      <c r="AE783" s="38"/>
      <c r="AF783" s="38"/>
      <c r="AG783" s="38"/>
      <c r="AH783" s="38"/>
      <c r="AJ783" s="39"/>
    </row>
    <row r="784" spans="4:36" s="36" customFormat="1" x14ac:dyDescent="0.25">
      <c r="D784" s="37"/>
      <c r="E784" s="38"/>
      <c r="F784" s="38"/>
      <c r="G784" s="38"/>
      <c r="H784" s="38"/>
      <c r="I784" s="38"/>
      <c r="J784" s="38"/>
      <c r="K784" s="38"/>
      <c r="M784" s="37"/>
      <c r="N784" s="37"/>
      <c r="O784" s="37"/>
      <c r="AD784" s="38"/>
      <c r="AE784" s="38"/>
      <c r="AF784" s="38"/>
      <c r="AG784" s="38"/>
      <c r="AH784" s="38"/>
      <c r="AJ784" s="39"/>
    </row>
    <row r="785" spans="4:36" s="36" customFormat="1" x14ac:dyDescent="0.25">
      <c r="D785" s="37"/>
      <c r="E785" s="38"/>
      <c r="F785" s="38"/>
      <c r="G785" s="38"/>
      <c r="H785" s="38"/>
      <c r="I785" s="38"/>
      <c r="J785" s="38"/>
      <c r="K785" s="38"/>
      <c r="M785" s="37"/>
      <c r="N785" s="37"/>
      <c r="O785" s="37"/>
      <c r="AD785" s="38"/>
      <c r="AE785" s="38"/>
      <c r="AF785" s="38"/>
      <c r="AG785" s="38"/>
      <c r="AH785" s="38"/>
      <c r="AJ785" s="39"/>
    </row>
    <row r="786" spans="4:36" s="36" customFormat="1" x14ac:dyDescent="0.25">
      <c r="D786" s="37"/>
      <c r="E786" s="38"/>
      <c r="F786" s="38"/>
      <c r="G786" s="38"/>
      <c r="H786" s="38"/>
      <c r="I786" s="38"/>
      <c r="J786" s="38"/>
      <c r="K786" s="38"/>
      <c r="M786" s="37"/>
      <c r="N786" s="37"/>
      <c r="O786" s="37"/>
      <c r="AD786" s="38"/>
      <c r="AE786" s="38"/>
      <c r="AF786" s="38"/>
      <c r="AG786" s="38"/>
      <c r="AH786" s="38"/>
      <c r="AJ786" s="39"/>
    </row>
    <row r="787" spans="4:36" s="36" customFormat="1" x14ac:dyDescent="0.25">
      <c r="D787" s="37"/>
      <c r="E787" s="38"/>
      <c r="F787" s="38"/>
      <c r="G787" s="38"/>
      <c r="H787" s="38"/>
      <c r="I787" s="38"/>
      <c r="J787" s="38"/>
      <c r="K787" s="38"/>
      <c r="M787" s="37"/>
      <c r="N787" s="37"/>
      <c r="O787" s="37"/>
      <c r="AD787" s="38"/>
      <c r="AE787" s="38"/>
      <c r="AF787" s="38"/>
      <c r="AG787" s="38"/>
      <c r="AH787" s="38"/>
      <c r="AJ787" s="39"/>
    </row>
    <row r="788" spans="4:36" s="36" customFormat="1" x14ac:dyDescent="0.25">
      <c r="D788" s="37"/>
      <c r="E788" s="38"/>
      <c r="F788" s="38"/>
      <c r="G788" s="38"/>
      <c r="H788" s="38"/>
      <c r="I788" s="38"/>
      <c r="J788" s="38"/>
      <c r="K788" s="38"/>
      <c r="M788" s="37"/>
      <c r="N788" s="37"/>
      <c r="O788" s="37"/>
      <c r="AD788" s="38"/>
      <c r="AE788" s="38"/>
      <c r="AF788" s="38"/>
      <c r="AG788" s="38"/>
      <c r="AH788" s="38"/>
      <c r="AJ788" s="39"/>
    </row>
    <row r="789" spans="4:36" s="36" customFormat="1" x14ac:dyDescent="0.25">
      <c r="D789" s="37"/>
      <c r="E789" s="38"/>
      <c r="F789" s="38"/>
      <c r="G789" s="38"/>
      <c r="H789" s="38"/>
      <c r="I789" s="38"/>
      <c r="J789" s="38"/>
      <c r="K789" s="38"/>
      <c r="M789" s="37"/>
      <c r="N789" s="37"/>
      <c r="O789" s="37"/>
      <c r="AD789" s="38"/>
      <c r="AE789" s="38"/>
      <c r="AF789" s="38"/>
      <c r="AG789" s="38"/>
      <c r="AH789" s="38"/>
      <c r="AJ789" s="39"/>
    </row>
    <row r="790" spans="4:36" s="36" customFormat="1" x14ac:dyDescent="0.25">
      <c r="D790" s="37"/>
      <c r="E790" s="38"/>
      <c r="F790" s="38"/>
      <c r="G790" s="38"/>
      <c r="H790" s="38"/>
      <c r="I790" s="38"/>
      <c r="J790" s="38"/>
      <c r="K790" s="38"/>
      <c r="M790" s="37"/>
      <c r="N790" s="37"/>
      <c r="O790" s="37"/>
      <c r="AD790" s="38"/>
      <c r="AE790" s="38"/>
      <c r="AF790" s="38"/>
      <c r="AG790" s="38"/>
      <c r="AH790" s="38"/>
      <c r="AJ790" s="39"/>
    </row>
    <row r="791" spans="4:36" s="36" customFormat="1" x14ac:dyDescent="0.25">
      <c r="D791" s="37"/>
      <c r="E791" s="38"/>
      <c r="F791" s="38"/>
      <c r="G791" s="38"/>
      <c r="H791" s="38"/>
      <c r="I791" s="38"/>
      <c r="J791" s="38"/>
      <c r="K791" s="38"/>
      <c r="M791" s="37"/>
      <c r="N791" s="37"/>
      <c r="O791" s="37"/>
      <c r="AD791" s="38"/>
      <c r="AE791" s="38"/>
      <c r="AF791" s="38"/>
      <c r="AG791" s="38"/>
      <c r="AH791" s="38"/>
      <c r="AJ791" s="39"/>
    </row>
    <row r="792" spans="4:36" s="36" customFormat="1" x14ac:dyDescent="0.25">
      <c r="D792" s="37"/>
      <c r="E792" s="38"/>
      <c r="F792" s="38"/>
      <c r="G792" s="38"/>
      <c r="H792" s="38"/>
      <c r="I792" s="38"/>
      <c r="J792" s="38"/>
      <c r="K792" s="38"/>
      <c r="M792" s="37"/>
      <c r="N792" s="37"/>
      <c r="O792" s="37"/>
      <c r="AD792" s="38"/>
      <c r="AE792" s="38"/>
      <c r="AF792" s="38"/>
      <c r="AG792" s="38"/>
      <c r="AH792" s="38"/>
      <c r="AJ792" s="39"/>
    </row>
    <row r="793" spans="4:36" s="36" customFormat="1" x14ac:dyDescent="0.25">
      <c r="D793" s="37"/>
      <c r="E793" s="38"/>
      <c r="F793" s="38"/>
      <c r="G793" s="38"/>
      <c r="H793" s="38"/>
      <c r="I793" s="38"/>
      <c r="J793" s="38"/>
      <c r="K793" s="38"/>
      <c r="M793" s="37"/>
      <c r="N793" s="37"/>
      <c r="O793" s="37"/>
      <c r="AD793" s="38"/>
      <c r="AE793" s="38"/>
      <c r="AF793" s="38"/>
      <c r="AG793" s="38"/>
      <c r="AH793" s="38"/>
      <c r="AJ793" s="39"/>
    </row>
    <row r="794" spans="4:36" s="36" customFormat="1" x14ac:dyDescent="0.25">
      <c r="D794" s="37"/>
      <c r="E794" s="38"/>
      <c r="F794" s="38"/>
      <c r="G794" s="38"/>
      <c r="H794" s="38"/>
      <c r="I794" s="38"/>
      <c r="J794" s="38"/>
      <c r="K794" s="38"/>
      <c r="M794" s="37"/>
      <c r="N794" s="37"/>
      <c r="O794" s="37"/>
      <c r="AD794" s="38"/>
      <c r="AE794" s="38"/>
      <c r="AF794" s="38"/>
      <c r="AG794" s="38"/>
      <c r="AH794" s="38"/>
      <c r="AJ794" s="39"/>
    </row>
    <row r="795" spans="4:36" s="36" customFormat="1" x14ac:dyDescent="0.25">
      <c r="D795" s="37"/>
      <c r="E795" s="38"/>
      <c r="F795" s="38"/>
      <c r="G795" s="38"/>
      <c r="H795" s="38"/>
      <c r="I795" s="38"/>
      <c r="J795" s="38"/>
      <c r="K795" s="38"/>
      <c r="M795" s="37"/>
      <c r="N795" s="37"/>
      <c r="O795" s="37"/>
      <c r="AD795" s="38"/>
      <c r="AE795" s="38"/>
      <c r="AF795" s="38"/>
      <c r="AG795" s="38"/>
      <c r="AH795" s="38"/>
      <c r="AJ795" s="39"/>
    </row>
    <row r="796" spans="4:36" s="36" customFormat="1" x14ac:dyDescent="0.25">
      <c r="D796" s="37"/>
      <c r="E796" s="38"/>
      <c r="F796" s="38"/>
      <c r="G796" s="38"/>
      <c r="H796" s="38"/>
      <c r="I796" s="38"/>
      <c r="J796" s="38"/>
      <c r="K796" s="38"/>
      <c r="M796" s="37"/>
      <c r="N796" s="37"/>
      <c r="O796" s="37"/>
      <c r="AD796" s="38"/>
      <c r="AE796" s="38"/>
      <c r="AF796" s="38"/>
      <c r="AG796" s="38"/>
      <c r="AH796" s="38"/>
      <c r="AJ796" s="39"/>
    </row>
    <row r="797" spans="4:36" s="36" customFormat="1" x14ac:dyDescent="0.25">
      <c r="D797" s="37"/>
      <c r="E797" s="38"/>
      <c r="F797" s="38"/>
      <c r="G797" s="38"/>
      <c r="H797" s="38"/>
      <c r="I797" s="38"/>
      <c r="J797" s="38"/>
      <c r="K797" s="38"/>
      <c r="M797" s="37"/>
      <c r="N797" s="37"/>
      <c r="O797" s="37"/>
      <c r="AD797" s="38"/>
      <c r="AE797" s="38"/>
      <c r="AF797" s="38"/>
      <c r="AG797" s="38"/>
      <c r="AH797" s="38"/>
      <c r="AJ797" s="39"/>
    </row>
    <row r="798" spans="4:36" s="36" customFormat="1" x14ac:dyDescent="0.25">
      <c r="D798" s="37"/>
      <c r="E798" s="38"/>
      <c r="F798" s="38"/>
      <c r="G798" s="38"/>
      <c r="H798" s="38"/>
      <c r="I798" s="38"/>
      <c r="J798" s="38"/>
      <c r="K798" s="38"/>
      <c r="M798" s="37"/>
      <c r="N798" s="37"/>
      <c r="O798" s="37"/>
      <c r="AD798" s="38"/>
      <c r="AE798" s="38"/>
      <c r="AF798" s="38"/>
      <c r="AG798" s="38"/>
      <c r="AH798" s="38"/>
      <c r="AJ798" s="39"/>
    </row>
    <row r="799" spans="4:36" s="36" customFormat="1" x14ac:dyDescent="0.25">
      <c r="D799" s="37"/>
      <c r="E799" s="38"/>
      <c r="F799" s="38"/>
      <c r="G799" s="38"/>
      <c r="H799" s="38"/>
      <c r="I799" s="38"/>
      <c r="J799" s="38"/>
      <c r="K799" s="38"/>
      <c r="M799" s="37"/>
      <c r="N799" s="37"/>
      <c r="O799" s="37"/>
      <c r="AD799" s="38"/>
      <c r="AE799" s="38"/>
      <c r="AF799" s="38"/>
      <c r="AG799" s="38"/>
      <c r="AH799" s="38"/>
      <c r="AJ799" s="39"/>
    </row>
    <row r="800" spans="4:36" s="36" customFormat="1" x14ac:dyDescent="0.25">
      <c r="D800" s="37"/>
      <c r="E800" s="38"/>
      <c r="F800" s="38"/>
      <c r="G800" s="38"/>
      <c r="H800" s="38"/>
      <c r="I800" s="38"/>
      <c r="J800" s="38"/>
      <c r="K800" s="38"/>
      <c r="M800" s="37"/>
      <c r="N800" s="37"/>
      <c r="O800" s="37"/>
      <c r="AD800" s="38"/>
      <c r="AE800" s="38"/>
      <c r="AF800" s="38"/>
      <c r="AG800" s="38"/>
      <c r="AH800" s="38"/>
      <c r="AJ800" s="39"/>
    </row>
    <row r="801" spans="4:36" s="36" customFormat="1" x14ac:dyDescent="0.25">
      <c r="D801" s="37"/>
      <c r="E801" s="38"/>
      <c r="F801" s="38"/>
      <c r="G801" s="38"/>
      <c r="H801" s="38"/>
      <c r="I801" s="38"/>
      <c r="J801" s="38"/>
      <c r="K801" s="38"/>
      <c r="M801" s="37"/>
      <c r="N801" s="37"/>
      <c r="O801" s="37"/>
      <c r="AD801" s="38"/>
      <c r="AE801" s="38"/>
      <c r="AF801" s="38"/>
      <c r="AG801" s="38"/>
      <c r="AH801" s="38"/>
      <c r="AJ801" s="39"/>
    </row>
    <row r="802" spans="4:36" s="36" customFormat="1" x14ac:dyDescent="0.25">
      <c r="D802" s="37"/>
      <c r="E802" s="38"/>
      <c r="F802" s="38"/>
      <c r="G802" s="38"/>
      <c r="H802" s="38"/>
      <c r="I802" s="38"/>
      <c r="J802" s="38"/>
      <c r="K802" s="38"/>
      <c r="M802" s="37"/>
      <c r="N802" s="37"/>
      <c r="O802" s="37"/>
      <c r="AD802" s="38"/>
      <c r="AE802" s="38"/>
      <c r="AF802" s="38"/>
      <c r="AG802" s="38"/>
      <c r="AH802" s="38"/>
      <c r="AJ802" s="39"/>
    </row>
    <row r="803" spans="4:36" s="36" customFormat="1" x14ac:dyDescent="0.25">
      <c r="D803" s="37"/>
      <c r="E803" s="38"/>
      <c r="F803" s="38"/>
      <c r="G803" s="38"/>
      <c r="H803" s="38"/>
      <c r="I803" s="38"/>
      <c r="J803" s="38"/>
      <c r="K803" s="38"/>
      <c r="M803" s="37"/>
      <c r="N803" s="37"/>
      <c r="O803" s="37"/>
      <c r="AD803" s="38"/>
      <c r="AE803" s="38"/>
      <c r="AF803" s="38"/>
      <c r="AG803" s="38"/>
      <c r="AH803" s="38"/>
      <c r="AJ803" s="39"/>
    </row>
    <row r="804" spans="4:36" s="36" customFormat="1" x14ac:dyDescent="0.25">
      <c r="D804" s="37"/>
      <c r="E804" s="38"/>
      <c r="F804" s="38"/>
      <c r="G804" s="38"/>
      <c r="H804" s="38"/>
      <c r="I804" s="38"/>
      <c r="J804" s="38"/>
      <c r="K804" s="38"/>
      <c r="M804" s="37"/>
      <c r="N804" s="37"/>
      <c r="O804" s="37"/>
      <c r="AD804" s="38"/>
      <c r="AE804" s="38"/>
      <c r="AF804" s="38"/>
      <c r="AG804" s="38"/>
      <c r="AH804" s="38"/>
      <c r="AJ804" s="39"/>
    </row>
    <row r="805" spans="4:36" s="36" customFormat="1" x14ac:dyDescent="0.25">
      <c r="D805" s="37"/>
      <c r="E805" s="38"/>
      <c r="F805" s="38"/>
      <c r="G805" s="38"/>
      <c r="H805" s="38"/>
      <c r="I805" s="38"/>
      <c r="J805" s="38"/>
      <c r="K805" s="38"/>
      <c r="M805" s="37"/>
      <c r="N805" s="37"/>
      <c r="O805" s="37"/>
      <c r="AD805" s="38"/>
      <c r="AE805" s="38"/>
      <c r="AF805" s="38"/>
      <c r="AG805" s="38"/>
      <c r="AH805" s="38"/>
      <c r="AJ805" s="39"/>
    </row>
    <row r="806" spans="4:36" s="36" customFormat="1" x14ac:dyDescent="0.25">
      <c r="D806" s="37"/>
      <c r="E806" s="38"/>
      <c r="F806" s="38"/>
      <c r="G806" s="38"/>
      <c r="H806" s="38"/>
      <c r="I806" s="38"/>
      <c r="J806" s="38"/>
      <c r="K806" s="38"/>
      <c r="M806" s="37"/>
      <c r="N806" s="37"/>
      <c r="O806" s="37"/>
      <c r="AD806" s="38"/>
      <c r="AE806" s="38"/>
      <c r="AF806" s="38"/>
      <c r="AG806" s="38"/>
      <c r="AH806" s="38"/>
      <c r="AJ806" s="39"/>
    </row>
    <row r="807" spans="4:36" s="36" customFormat="1" x14ac:dyDescent="0.25">
      <c r="D807" s="37"/>
      <c r="E807" s="38"/>
      <c r="F807" s="38"/>
      <c r="G807" s="38"/>
      <c r="H807" s="38"/>
      <c r="I807" s="38"/>
      <c r="J807" s="38"/>
      <c r="K807" s="38"/>
      <c r="M807" s="37"/>
      <c r="N807" s="37"/>
      <c r="O807" s="37"/>
      <c r="AD807" s="38"/>
      <c r="AE807" s="38"/>
      <c r="AF807" s="38"/>
      <c r="AG807" s="38"/>
      <c r="AH807" s="38"/>
      <c r="AJ807" s="39"/>
    </row>
    <row r="808" spans="4:36" s="36" customFormat="1" x14ac:dyDescent="0.25">
      <c r="D808" s="37"/>
      <c r="E808" s="38"/>
      <c r="F808" s="38"/>
      <c r="G808" s="38"/>
      <c r="H808" s="38"/>
      <c r="I808" s="38"/>
      <c r="J808" s="38"/>
      <c r="K808" s="38"/>
      <c r="M808" s="37"/>
      <c r="N808" s="37"/>
      <c r="O808" s="37"/>
      <c r="AD808" s="38"/>
      <c r="AE808" s="38"/>
      <c r="AF808" s="38"/>
      <c r="AG808" s="38"/>
      <c r="AH808" s="38"/>
      <c r="AJ808" s="39"/>
    </row>
    <row r="809" spans="4:36" s="36" customFormat="1" x14ac:dyDescent="0.25">
      <c r="D809" s="37"/>
      <c r="E809" s="38"/>
      <c r="F809" s="38"/>
      <c r="G809" s="38"/>
      <c r="H809" s="38"/>
      <c r="I809" s="38"/>
      <c r="J809" s="38"/>
      <c r="K809" s="38"/>
      <c r="M809" s="37"/>
      <c r="N809" s="37"/>
      <c r="O809" s="37"/>
      <c r="AD809" s="38"/>
      <c r="AE809" s="38"/>
      <c r="AF809" s="38"/>
      <c r="AG809" s="38"/>
      <c r="AH809" s="38"/>
      <c r="AJ809" s="39"/>
    </row>
    <row r="810" spans="4:36" s="36" customFormat="1" x14ac:dyDescent="0.25">
      <c r="D810" s="37"/>
      <c r="E810" s="38"/>
      <c r="F810" s="38"/>
      <c r="G810" s="38"/>
      <c r="H810" s="38"/>
      <c r="I810" s="38"/>
      <c r="J810" s="38"/>
      <c r="K810" s="38"/>
      <c r="M810" s="37"/>
      <c r="N810" s="37"/>
      <c r="O810" s="37"/>
      <c r="AD810" s="38"/>
      <c r="AE810" s="38"/>
      <c r="AF810" s="38"/>
      <c r="AG810" s="38"/>
      <c r="AH810" s="38"/>
      <c r="AJ810" s="39"/>
    </row>
    <row r="811" spans="4:36" s="36" customFormat="1" x14ac:dyDescent="0.25">
      <c r="D811" s="37"/>
      <c r="E811" s="38"/>
      <c r="F811" s="38"/>
      <c r="G811" s="38"/>
      <c r="H811" s="38"/>
      <c r="I811" s="38"/>
      <c r="J811" s="38"/>
      <c r="K811" s="38"/>
      <c r="M811" s="37"/>
      <c r="N811" s="37"/>
      <c r="O811" s="37"/>
      <c r="AD811" s="38"/>
      <c r="AE811" s="38"/>
      <c r="AF811" s="38"/>
      <c r="AG811" s="38"/>
      <c r="AH811" s="38"/>
      <c r="AJ811" s="39"/>
    </row>
    <row r="812" spans="4:36" s="36" customFormat="1" x14ac:dyDescent="0.25">
      <c r="D812" s="37"/>
      <c r="E812" s="38"/>
      <c r="F812" s="38"/>
      <c r="G812" s="38"/>
      <c r="H812" s="38"/>
      <c r="I812" s="38"/>
      <c r="J812" s="38"/>
      <c r="K812" s="38"/>
      <c r="M812" s="37"/>
      <c r="N812" s="37"/>
      <c r="O812" s="37"/>
      <c r="AD812" s="38"/>
      <c r="AE812" s="38"/>
      <c r="AF812" s="38"/>
      <c r="AG812" s="38"/>
      <c r="AH812" s="38"/>
      <c r="AJ812" s="39"/>
    </row>
    <row r="813" spans="4:36" s="36" customFormat="1" x14ac:dyDescent="0.25">
      <c r="D813" s="37"/>
      <c r="E813" s="38"/>
      <c r="F813" s="38"/>
      <c r="G813" s="38"/>
      <c r="H813" s="38"/>
      <c r="I813" s="38"/>
      <c r="J813" s="38"/>
      <c r="K813" s="38"/>
      <c r="M813" s="37"/>
      <c r="N813" s="37"/>
      <c r="O813" s="37"/>
      <c r="AD813" s="38"/>
      <c r="AE813" s="38"/>
      <c r="AF813" s="38"/>
      <c r="AG813" s="38"/>
      <c r="AH813" s="38"/>
      <c r="AJ813" s="39"/>
    </row>
    <row r="814" spans="4:36" s="36" customFormat="1" x14ac:dyDescent="0.25">
      <c r="D814" s="37"/>
      <c r="E814" s="38"/>
      <c r="F814" s="38"/>
      <c r="G814" s="38"/>
      <c r="H814" s="38"/>
      <c r="I814" s="38"/>
      <c r="J814" s="38"/>
      <c r="K814" s="38"/>
      <c r="M814" s="37"/>
      <c r="N814" s="37"/>
      <c r="O814" s="37"/>
      <c r="AD814" s="38"/>
      <c r="AE814" s="38"/>
      <c r="AF814" s="38"/>
      <c r="AG814" s="38"/>
      <c r="AH814" s="38"/>
      <c r="AJ814" s="39"/>
    </row>
    <row r="815" spans="4:36" s="36" customFormat="1" x14ac:dyDescent="0.25">
      <c r="D815" s="37"/>
      <c r="E815" s="38"/>
      <c r="F815" s="38"/>
      <c r="G815" s="38"/>
      <c r="H815" s="38"/>
      <c r="I815" s="38"/>
      <c r="J815" s="38"/>
      <c r="K815" s="38"/>
      <c r="M815" s="37"/>
      <c r="N815" s="37"/>
      <c r="O815" s="37"/>
      <c r="AD815" s="38"/>
      <c r="AE815" s="38"/>
      <c r="AF815" s="38"/>
      <c r="AG815" s="38"/>
      <c r="AH815" s="38"/>
      <c r="AJ815" s="39"/>
    </row>
    <row r="816" spans="4:36" s="36" customFormat="1" x14ac:dyDescent="0.25">
      <c r="D816" s="37"/>
      <c r="E816" s="38"/>
      <c r="F816" s="38"/>
      <c r="G816" s="38"/>
      <c r="H816" s="38"/>
      <c r="I816" s="38"/>
      <c r="J816" s="38"/>
      <c r="K816" s="38"/>
      <c r="M816" s="37"/>
      <c r="N816" s="37"/>
      <c r="O816" s="37"/>
      <c r="AD816" s="38"/>
      <c r="AE816" s="38"/>
      <c r="AF816" s="38"/>
      <c r="AG816" s="38"/>
      <c r="AH816" s="38"/>
      <c r="AJ816" s="39"/>
    </row>
    <row r="817" spans="4:36" s="36" customFormat="1" x14ac:dyDescent="0.25">
      <c r="D817" s="37"/>
      <c r="E817" s="38"/>
      <c r="F817" s="38"/>
      <c r="G817" s="38"/>
      <c r="H817" s="38"/>
      <c r="I817" s="38"/>
      <c r="J817" s="38"/>
      <c r="K817" s="38"/>
      <c r="M817" s="37"/>
      <c r="N817" s="37"/>
      <c r="O817" s="37"/>
      <c r="AD817" s="38"/>
      <c r="AE817" s="38"/>
      <c r="AF817" s="38"/>
      <c r="AG817" s="38"/>
      <c r="AH817" s="38"/>
      <c r="AJ817" s="39"/>
    </row>
    <row r="818" spans="4:36" s="36" customFormat="1" x14ac:dyDescent="0.25">
      <c r="D818" s="37"/>
      <c r="E818" s="38"/>
      <c r="F818" s="38"/>
      <c r="G818" s="38"/>
      <c r="H818" s="38"/>
      <c r="I818" s="38"/>
      <c r="J818" s="38"/>
      <c r="K818" s="38"/>
      <c r="M818" s="37"/>
      <c r="N818" s="37"/>
      <c r="O818" s="37"/>
      <c r="AD818" s="38"/>
      <c r="AE818" s="38"/>
      <c r="AF818" s="38"/>
      <c r="AG818" s="38"/>
      <c r="AH818" s="38"/>
      <c r="AJ818" s="39"/>
    </row>
    <row r="819" spans="4:36" s="36" customFormat="1" x14ac:dyDescent="0.25">
      <c r="D819" s="37"/>
      <c r="E819" s="38"/>
      <c r="F819" s="38"/>
      <c r="G819" s="38"/>
      <c r="H819" s="38"/>
      <c r="I819" s="38"/>
      <c r="J819" s="38"/>
      <c r="K819" s="38"/>
      <c r="M819" s="37"/>
      <c r="N819" s="37"/>
      <c r="O819" s="37"/>
      <c r="AD819" s="38"/>
      <c r="AE819" s="38"/>
      <c r="AF819" s="38"/>
      <c r="AG819" s="38"/>
      <c r="AH819" s="38"/>
      <c r="AJ819" s="39"/>
    </row>
    <row r="820" spans="4:36" s="36" customFormat="1" x14ac:dyDescent="0.25">
      <c r="D820" s="37"/>
      <c r="E820" s="38"/>
      <c r="F820" s="38"/>
      <c r="G820" s="38"/>
      <c r="H820" s="38"/>
      <c r="I820" s="38"/>
      <c r="J820" s="38"/>
      <c r="K820" s="38"/>
      <c r="M820" s="37"/>
      <c r="N820" s="37"/>
      <c r="O820" s="37"/>
      <c r="AD820" s="38"/>
      <c r="AE820" s="38"/>
      <c r="AF820" s="38"/>
      <c r="AG820" s="38"/>
      <c r="AH820" s="38"/>
      <c r="AJ820" s="39"/>
    </row>
    <row r="821" spans="4:36" s="36" customFormat="1" x14ac:dyDescent="0.25">
      <c r="D821" s="37"/>
      <c r="E821" s="38"/>
      <c r="F821" s="38"/>
      <c r="G821" s="38"/>
      <c r="H821" s="38"/>
      <c r="I821" s="38"/>
      <c r="J821" s="38"/>
      <c r="K821" s="38"/>
      <c r="M821" s="37"/>
      <c r="N821" s="37"/>
      <c r="O821" s="37"/>
      <c r="AD821" s="38"/>
      <c r="AE821" s="38"/>
      <c r="AF821" s="38"/>
      <c r="AG821" s="38"/>
      <c r="AH821" s="38"/>
      <c r="AJ821" s="39"/>
    </row>
    <row r="822" spans="4:36" s="36" customFormat="1" x14ac:dyDescent="0.25">
      <c r="D822" s="37"/>
      <c r="E822" s="38"/>
      <c r="F822" s="38"/>
      <c r="G822" s="38"/>
      <c r="H822" s="38"/>
      <c r="I822" s="38"/>
      <c r="J822" s="38"/>
      <c r="K822" s="38"/>
      <c r="M822" s="37"/>
      <c r="N822" s="37"/>
      <c r="O822" s="37"/>
      <c r="AD822" s="38"/>
      <c r="AE822" s="38"/>
      <c r="AF822" s="38"/>
      <c r="AG822" s="38"/>
      <c r="AH822" s="38"/>
      <c r="AJ822" s="39"/>
    </row>
    <row r="823" spans="4:36" s="36" customFormat="1" x14ac:dyDescent="0.25">
      <c r="D823" s="37"/>
      <c r="E823" s="38"/>
      <c r="F823" s="38"/>
      <c r="G823" s="38"/>
      <c r="H823" s="38"/>
      <c r="I823" s="38"/>
      <c r="J823" s="38"/>
      <c r="K823" s="38"/>
      <c r="M823" s="37"/>
      <c r="N823" s="37"/>
      <c r="O823" s="37"/>
      <c r="AD823" s="38"/>
      <c r="AE823" s="38"/>
      <c r="AF823" s="38"/>
      <c r="AG823" s="38"/>
      <c r="AH823" s="38"/>
      <c r="AJ823" s="39"/>
    </row>
    <row r="824" spans="4:36" s="36" customFormat="1" x14ac:dyDescent="0.25">
      <c r="D824" s="37"/>
      <c r="E824" s="38"/>
      <c r="F824" s="38"/>
      <c r="G824" s="38"/>
      <c r="H824" s="38"/>
      <c r="I824" s="38"/>
      <c r="J824" s="38"/>
      <c r="K824" s="38"/>
      <c r="M824" s="37"/>
      <c r="N824" s="37"/>
      <c r="O824" s="37"/>
      <c r="AD824" s="38"/>
      <c r="AE824" s="38"/>
      <c r="AF824" s="38"/>
      <c r="AG824" s="38"/>
      <c r="AH824" s="38"/>
      <c r="AJ824" s="39"/>
    </row>
    <row r="825" spans="4:36" s="36" customFormat="1" x14ac:dyDescent="0.25">
      <c r="D825" s="37"/>
      <c r="E825" s="38"/>
      <c r="F825" s="38"/>
      <c r="G825" s="38"/>
      <c r="H825" s="38"/>
      <c r="I825" s="38"/>
      <c r="J825" s="38"/>
      <c r="K825" s="38"/>
      <c r="M825" s="37"/>
      <c r="N825" s="37"/>
      <c r="O825" s="37"/>
      <c r="AD825" s="38"/>
      <c r="AE825" s="38"/>
      <c r="AF825" s="38"/>
      <c r="AG825" s="38"/>
      <c r="AH825" s="38"/>
      <c r="AJ825" s="39"/>
    </row>
    <row r="826" spans="4:36" s="36" customFormat="1" x14ac:dyDescent="0.25">
      <c r="D826" s="37"/>
      <c r="E826" s="38"/>
      <c r="F826" s="38"/>
      <c r="G826" s="38"/>
      <c r="H826" s="38"/>
      <c r="I826" s="38"/>
      <c r="J826" s="38"/>
      <c r="K826" s="38"/>
      <c r="M826" s="37"/>
      <c r="N826" s="37"/>
      <c r="O826" s="37"/>
      <c r="AD826" s="38"/>
      <c r="AE826" s="38"/>
      <c r="AF826" s="38"/>
      <c r="AG826" s="38"/>
      <c r="AH826" s="38"/>
      <c r="AJ826" s="39"/>
    </row>
    <row r="827" spans="4:36" s="36" customFormat="1" x14ac:dyDescent="0.25">
      <c r="D827" s="37"/>
      <c r="E827" s="38"/>
      <c r="F827" s="38"/>
      <c r="G827" s="38"/>
      <c r="H827" s="38"/>
      <c r="I827" s="38"/>
      <c r="J827" s="38"/>
      <c r="K827" s="38"/>
      <c r="M827" s="37"/>
      <c r="N827" s="37"/>
      <c r="O827" s="37"/>
      <c r="AD827" s="38"/>
      <c r="AE827" s="38"/>
      <c r="AF827" s="38"/>
      <c r="AG827" s="38"/>
      <c r="AH827" s="38"/>
      <c r="AJ827" s="39"/>
    </row>
    <row r="828" spans="4:36" s="36" customFormat="1" x14ac:dyDescent="0.25">
      <c r="D828" s="37"/>
      <c r="E828" s="38"/>
      <c r="F828" s="38"/>
      <c r="G828" s="38"/>
      <c r="H828" s="38"/>
      <c r="I828" s="38"/>
      <c r="J828" s="38"/>
      <c r="K828" s="38"/>
      <c r="M828" s="37"/>
      <c r="N828" s="37"/>
      <c r="O828" s="37"/>
      <c r="AD828" s="38"/>
      <c r="AE828" s="38"/>
      <c r="AF828" s="38"/>
      <c r="AG828" s="38"/>
      <c r="AH828" s="38"/>
      <c r="AJ828" s="39"/>
    </row>
    <row r="829" spans="4:36" s="36" customFormat="1" x14ac:dyDescent="0.25">
      <c r="D829" s="37"/>
      <c r="E829" s="38"/>
      <c r="F829" s="38"/>
      <c r="G829" s="38"/>
      <c r="H829" s="38"/>
      <c r="I829" s="38"/>
      <c r="J829" s="38"/>
      <c r="K829" s="38"/>
      <c r="M829" s="37"/>
      <c r="N829" s="37"/>
      <c r="O829" s="37"/>
      <c r="AD829" s="38"/>
      <c r="AE829" s="38"/>
      <c r="AF829" s="38"/>
      <c r="AG829" s="38"/>
      <c r="AH829" s="38"/>
      <c r="AJ829" s="39"/>
    </row>
    <row r="830" spans="4:36" s="36" customFormat="1" x14ac:dyDescent="0.25">
      <c r="D830" s="37"/>
      <c r="E830" s="38"/>
      <c r="F830" s="38"/>
      <c r="G830" s="38"/>
      <c r="H830" s="38"/>
      <c r="I830" s="38"/>
      <c r="J830" s="38"/>
      <c r="K830" s="38"/>
      <c r="M830" s="37"/>
      <c r="N830" s="37"/>
      <c r="O830" s="37"/>
      <c r="AD830" s="38"/>
      <c r="AE830" s="38"/>
      <c r="AF830" s="38"/>
      <c r="AG830" s="38"/>
      <c r="AH830" s="38"/>
      <c r="AJ830" s="39"/>
    </row>
    <row r="831" spans="4:36" s="36" customFormat="1" x14ac:dyDescent="0.25">
      <c r="D831" s="37"/>
      <c r="E831" s="38"/>
      <c r="F831" s="38"/>
      <c r="G831" s="38"/>
      <c r="H831" s="38"/>
      <c r="I831" s="38"/>
      <c r="J831" s="38"/>
      <c r="K831" s="38"/>
      <c r="M831" s="37"/>
      <c r="N831" s="37"/>
      <c r="O831" s="37"/>
      <c r="AD831" s="38"/>
      <c r="AE831" s="38"/>
      <c r="AF831" s="38"/>
      <c r="AG831" s="38"/>
      <c r="AH831" s="38"/>
      <c r="AJ831" s="39"/>
    </row>
    <row r="832" spans="4:36" s="36" customFormat="1" x14ac:dyDescent="0.25">
      <c r="D832" s="37"/>
      <c r="E832" s="38"/>
      <c r="F832" s="38"/>
      <c r="G832" s="38"/>
      <c r="H832" s="38"/>
      <c r="I832" s="38"/>
      <c r="J832" s="38"/>
      <c r="K832" s="38"/>
      <c r="M832" s="37"/>
      <c r="N832" s="37"/>
      <c r="O832" s="37"/>
      <c r="AD832" s="38"/>
      <c r="AE832" s="38"/>
      <c r="AF832" s="38"/>
      <c r="AG832" s="38"/>
      <c r="AH832" s="38"/>
      <c r="AJ832" s="39"/>
    </row>
    <row r="833" spans="4:36" s="36" customFormat="1" x14ac:dyDescent="0.25">
      <c r="D833" s="37"/>
      <c r="E833" s="38"/>
      <c r="F833" s="38"/>
      <c r="G833" s="38"/>
      <c r="H833" s="38"/>
      <c r="I833" s="38"/>
      <c r="J833" s="38"/>
      <c r="K833" s="38"/>
      <c r="M833" s="37"/>
      <c r="N833" s="37"/>
      <c r="O833" s="37"/>
      <c r="AD833" s="38"/>
      <c r="AE833" s="38"/>
      <c r="AF833" s="38"/>
      <c r="AG833" s="38"/>
      <c r="AH833" s="38"/>
      <c r="AJ833" s="39"/>
    </row>
    <row r="834" spans="4:36" s="36" customFormat="1" x14ac:dyDescent="0.25">
      <c r="D834" s="37"/>
      <c r="E834" s="38"/>
      <c r="F834" s="38"/>
      <c r="G834" s="38"/>
      <c r="H834" s="38"/>
      <c r="I834" s="38"/>
      <c r="J834" s="38"/>
      <c r="K834" s="38"/>
      <c r="M834" s="37"/>
      <c r="N834" s="37"/>
      <c r="O834" s="37"/>
      <c r="AD834" s="38"/>
      <c r="AE834" s="38"/>
      <c r="AF834" s="38"/>
      <c r="AG834" s="38"/>
      <c r="AH834" s="38"/>
      <c r="AJ834" s="39"/>
    </row>
    <row r="835" spans="4:36" s="36" customFormat="1" x14ac:dyDescent="0.25">
      <c r="D835" s="37"/>
      <c r="E835" s="38"/>
      <c r="F835" s="38"/>
      <c r="G835" s="38"/>
      <c r="H835" s="38"/>
      <c r="I835" s="38"/>
      <c r="J835" s="38"/>
      <c r="K835" s="38"/>
      <c r="M835" s="37"/>
      <c r="N835" s="37"/>
      <c r="O835" s="37"/>
      <c r="AD835" s="38"/>
      <c r="AE835" s="38"/>
      <c r="AF835" s="38"/>
      <c r="AG835" s="38"/>
      <c r="AH835" s="38"/>
      <c r="AJ835" s="39"/>
    </row>
    <row r="836" spans="4:36" s="36" customFormat="1" x14ac:dyDescent="0.25">
      <c r="D836" s="37"/>
      <c r="E836" s="38"/>
      <c r="F836" s="38"/>
      <c r="G836" s="38"/>
      <c r="H836" s="38"/>
      <c r="I836" s="38"/>
      <c r="J836" s="38"/>
      <c r="K836" s="38"/>
      <c r="M836" s="37"/>
      <c r="N836" s="37"/>
      <c r="O836" s="37"/>
      <c r="AD836" s="38"/>
      <c r="AE836" s="38"/>
      <c r="AF836" s="38"/>
      <c r="AG836" s="38"/>
      <c r="AH836" s="38"/>
      <c r="AJ836" s="39"/>
    </row>
    <row r="837" spans="4:36" s="36" customFormat="1" x14ac:dyDescent="0.25">
      <c r="D837" s="37"/>
      <c r="E837" s="38"/>
      <c r="F837" s="38"/>
      <c r="G837" s="38"/>
      <c r="H837" s="38"/>
      <c r="I837" s="38"/>
      <c r="J837" s="38"/>
      <c r="K837" s="38"/>
      <c r="M837" s="37"/>
      <c r="N837" s="37"/>
      <c r="O837" s="37"/>
      <c r="AD837" s="38"/>
      <c r="AE837" s="38"/>
      <c r="AF837" s="38"/>
      <c r="AG837" s="38"/>
      <c r="AH837" s="38"/>
      <c r="AJ837" s="39"/>
    </row>
    <row r="838" spans="4:36" s="36" customFormat="1" x14ac:dyDescent="0.25">
      <c r="D838" s="37"/>
      <c r="E838" s="38"/>
      <c r="F838" s="38"/>
      <c r="G838" s="38"/>
      <c r="H838" s="38"/>
      <c r="I838" s="38"/>
      <c r="J838" s="38"/>
      <c r="K838" s="38"/>
      <c r="M838" s="37"/>
      <c r="N838" s="37"/>
      <c r="O838" s="37"/>
      <c r="AD838" s="38"/>
      <c r="AE838" s="38"/>
      <c r="AF838" s="38"/>
      <c r="AG838" s="38"/>
      <c r="AH838" s="38"/>
      <c r="AJ838" s="39"/>
    </row>
    <row r="839" spans="4:36" s="36" customFormat="1" x14ac:dyDescent="0.25">
      <c r="D839" s="37"/>
      <c r="E839" s="38"/>
      <c r="F839" s="38"/>
      <c r="G839" s="38"/>
      <c r="H839" s="38"/>
      <c r="I839" s="38"/>
      <c r="J839" s="38"/>
      <c r="K839" s="38"/>
      <c r="M839" s="37"/>
      <c r="N839" s="37"/>
      <c r="O839" s="37"/>
      <c r="AD839" s="38"/>
      <c r="AE839" s="38"/>
      <c r="AF839" s="38"/>
      <c r="AG839" s="38"/>
      <c r="AH839" s="38"/>
      <c r="AJ839" s="39"/>
    </row>
    <row r="840" spans="4:36" s="36" customFormat="1" x14ac:dyDescent="0.25">
      <c r="D840" s="37"/>
      <c r="E840" s="38"/>
      <c r="F840" s="38"/>
      <c r="G840" s="38"/>
      <c r="H840" s="38"/>
      <c r="I840" s="38"/>
      <c r="J840" s="38"/>
      <c r="K840" s="38"/>
      <c r="M840" s="37"/>
      <c r="N840" s="37"/>
      <c r="O840" s="37"/>
      <c r="AD840" s="38"/>
      <c r="AE840" s="38"/>
      <c r="AF840" s="38"/>
      <c r="AG840" s="38"/>
      <c r="AH840" s="38"/>
      <c r="AJ840" s="39"/>
    </row>
    <row r="841" spans="4:36" s="36" customFormat="1" x14ac:dyDescent="0.25">
      <c r="D841" s="37"/>
      <c r="E841" s="38"/>
      <c r="F841" s="38"/>
      <c r="G841" s="38"/>
      <c r="H841" s="38"/>
      <c r="I841" s="38"/>
      <c r="J841" s="38"/>
      <c r="K841" s="38"/>
      <c r="M841" s="37"/>
      <c r="N841" s="37"/>
      <c r="O841" s="37"/>
      <c r="AD841" s="38"/>
      <c r="AE841" s="38"/>
      <c r="AF841" s="38"/>
      <c r="AG841" s="38"/>
      <c r="AH841" s="38"/>
      <c r="AJ841" s="39"/>
    </row>
    <row r="842" spans="4:36" s="36" customFormat="1" x14ac:dyDescent="0.25">
      <c r="D842" s="37"/>
      <c r="E842" s="38"/>
      <c r="F842" s="38"/>
      <c r="G842" s="38"/>
      <c r="H842" s="38"/>
      <c r="I842" s="38"/>
      <c r="J842" s="38"/>
      <c r="K842" s="38"/>
      <c r="M842" s="37"/>
      <c r="N842" s="37"/>
      <c r="O842" s="37"/>
      <c r="AD842" s="38"/>
      <c r="AE842" s="38"/>
      <c r="AF842" s="38"/>
      <c r="AG842" s="38"/>
      <c r="AH842" s="38"/>
      <c r="AJ842" s="39"/>
    </row>
    <row r="843" spans="4:36" s="36" customFormat="1" x14ac:dyDescent="0.25">
      <c r="D843" s="37"/>
      <c r="E843" s="38"/>
      <c r="F843" s="38"/>
      <c r="G843" s="38"/>
      <c r="H843" s="38"/>
      <c r="I843" s="38"/>
      <c r="J843" s="38"/>
      <c r="K843" s="38"/>
      <c r="M843" s="37"/>
      <c r="N843" s="37"/>
      <c r="O843" s="37"/>
      <c r="AD843" s="38"/>
      <c r="AE843" s="38"/>
      <c r="AF843" s="38"/>
      <c r="AG843" s="38"/>
      <c r="AH843" s="38"/>
      <c r="AJ843" s="39"/>
    </row>
    <row r="844" spans="4:36" s="36" customFormat="1" x14ac:dyDescent="0.25">
      <c r="D844" s="37"/>
      <c r="E844" s="38"/>
      <c r="F844" s="38"/>
      <c r="G844" s="38"/>
      <c r="H844" s="38"/>
      <c r="I844" s="38"/>
      <c r="J844" s="38"/>
      <c r="K844" s="38"/>
      <c r="M844" s="37"/>
      <c r="N844" s="37"/>
      <c r="O844" s="37"/>
      <c r="AD844" s="38"/>
      <c r="AE844" s="38"/>
      <c r="AF844" s="38"/>
      <c r="AG844" s="38"/>
      <c r="AH844" s="38"/>
      <c r="AJ844" s="39"/>
    </row>
    <row r="845" spans="4:36" s="36" customFormat="1" x14ac:dyDescent="0.25">
      <c r="D845" s="37"/>
      <c r="E845" s="38"/>
      <c r="F845" s="38"/>
      <c r="G845" s="38"/>
      <c r="H845" s="38"/>
      <c r="I845" s="38"/>
      <c r="J845" s="38"/>
      <c r="K845" s="38"/>
      <c r="M845" s="37"/>
      <c r="N845" s="37"/>
      <c r="O845" s="37"/>
      <c r="AD845" s="38"/>
      <c r="AE845" s="38"/>
      <c r="AF845" s="38"/>
      <c r="AG845" s="38"/>
      <c r="AH845" s="38"/>
      <c r="AJ845" s="39"/>
    </row>
    <row r="846" spans="4:36" s="36" customFormat="1" x14ac:dyDescent="0.25">
      <c r="D846" s="37"/>
      <c r="E846" s="38"/>
      <c r="F846" s="38"/>
      <c r="G846" s="38"/>
      <c r="H846" s="38"/>
      <c r="I846" s="38"/>
      <c r="J846" s="38"/>
      <c r="K846" s="38"/>
      <c r="M846" s="37"/>
      <c r="N846" s="37"/>
      <c r="O846" s="37"/>
      <c r="AD846" s="38"/>
      <c r="AE846" s="38"/>
      <c r="AF846" s="38"/>
      <c r="AG846" s="38"/>
      <c r="AH846" s="38"/>
      <c r="AJ846" s="39"/>
    </row>
    <row r="847" spans="4:36" s="36" customFormat="1" x14ac:dyDescent="0.25">
      <c r="D847" s="37"/>
      <c r="E847" s="38"/>
      <c r="F847" s="38"/>
      <c r="G847" s="38"/>
      <c r="H847" s="38"/>
      <c r="I847" s="38"/>
      <c r="J847" s="38"/>
      <c r="K847" s="38"/>
      <c r="M847" s="37"/>
      <c r="N847" s="37"/>
      <c r="O847" s="37"/>
      <c r="AD847" s="38"/>
      <c r="AE847" s="38"/>
      <c r="AF847" s="38"/>
      <c r="AG847" s="38"/>
      <c r="AH847" s="38"/>
      <c r="AJ847" s="39"/>
    </row>
    <row r="848" spans="4:36" s="36" customFormat="1" x14ac:dyDescent="0.25">
      <c r="D848" s="37"/>
      <c r="E848" s="38"/>
      <c r="F848" s="38"/>
      <c r="G848" s="38"/>
      <c r="H848" s="38"/>
      <c r="I848" s="38"/>
      <c r="J848" s="38"/>
      <c r="K848" s="38"/>
      <c r="M848" s="37"/>
      <c r="N848" s="37"/>
      <c r="O848" s="37"/>
      <c r="AD848" s="38"/>
      <c r="AE848" s="38"/>
      <c r="AF848" s="38"/>
      <c r="AG848" s="38"/>
      <c r="AH848" s="38"/>
      <c r="AJ848" s="39"/>
    </row>
    <row r="849" spans="4:36" s="36" customFormat="1" x14ac:dyDescent="0.25">
      <c r="D849" s="37"/>
      <c r="E849" s="38"/>
      <c r="F849" s="38"/>
      <c r="G849" s="38"/>
      <c r="H849" s="38"/>
      <c r="I849" s="38"/>
      <c r="J849" s="38"/>
      <c r="K849" s="38"/>
      <c r="M849" s="37"/>
      <c r="N849" s="37"/>
      <c r="O849" s="37"/>
      <c r="AD849" s="38"/>
      <c r="AE849" s="38"/>
      <c r="AF849" s="38"/>
      <c r="AG849" s="38"/>
      <c r="AH849" s="38"/>
      <c r="AJ849" s="39"/>
    </row>
    <row r="850" spans="4:36" s="36" customFormat="1" x14ac:dyDescent="0.25">
      <c r="D850" s="37"/>
      <c r="E850" s="38"/>
      <c r="F850" s="38"/>
      <c r="G850" s="38"/>
      <c r="H850" s="38"/>
      <c r="I850" s="38"/>
      <c r="J850" s="38"/>
      <c r="K850" s="38"/>
      <c r="M850" s="37"/>
      <c r="N850" s="37"/>
      <c r="O850" s="37"/>
      <c r="AD850" s="38"/>
      <c r="AE850" s="38"/>
      <c r="AF850" s="38"/>
      <c r="AG850" s="38"/>
      <c r="AH850" s="38"/>
      <c r="AJ850" s="39"/>
    </row>
    <row r="851" spans="4:36" s="36" customFormat="1" x14ac:dyDescent="0.25">
      <c r="D851" s="37"/>
      <c r="E851" s="38"/>
      <c r="F851" s="38"/>
      <c r="G851" s="38"/>
      <c r="H851" s="38"/>
      <c r="I851" s="38"/>
      <c r="J851" s="38"/>
      <c r="K851" s="38"/>
      <c r="M851" s="37"/>
      <c r="N851" s="37"/>
      <c r="O851" s="37"/>
      <c r="AD851" s="38"/>
      <c r="AE851" s="38"/>
      <c r="AF851" s="38"/>
      <c r="AG851" s="38"/>
      <c r="AH851" s="38"/>
      <c r="AJ851" s="39"/>
    </row>
    <row r="852" spans="4:36" s="36" customFormat="1" x14ac:dyDescent="0.25">
      <c r="D852" s="37"/>
      <c r="E852" s="38"/>
      <c r="F852" s="38"/>
      <c r="G852" s="38"/>
      <c r="H852" s="38"/>
      <c r="I852" s="38"/>
      <c r="J852" s="38"/>
      <c r="K852" s="38"/>
      <c r="M852" s="37"/>
      <c r="N852" s="37"/>
      <c r="O852" s="37"/>
      <c r="AD852" s="38"/>
      <c r="AE852" s="38"/>
      <c r="AF852" s="38"/>
      <c r="AG852" s="38"/>
      <c r="AH852" s="38"/>
      <c r="AJ852" s="39"/>
    </row>
    <row r="853" spans="4:36" s="36" customFormat="1" x14ac:dyDescent="0.25">
      <c r="D853" s="37"/>
      <c r="E853" s="38"/>
      <c r="F853" s="38"/>
      <c r="G853" s="38"/>
      <c r="H853" s="38"/>
      <c r="I853" s="38"/>
      <c r="J853" s="38"/>
      <c r="K853" s="38"/>
      <c r="M853" s="37"/>
      <c r="N853" s="37"/>
      <c r="O853" s="37"/>
      <c r="AD853" s="38"/>
      <c r="AE853" s="38"/>
      <c r="AF853" s="38"/>
      <c r="AG853" s="38"/>
      <c r="AH853" s="38"/>
      <c r="AJ853" s="39"/>
    </row>
    <row r="854" spans="4:36" s="36" customFormat="1" x14ac:dyDescent="0.25">
      <c r="D854" s="37"/>
      <c r="E854" s="38"/>
      <c r="F854" s="38"/>
      <c r="G854" s="38"/>
      <c r="H854" s="38"/>
      <c r="I854" s="38"/>
      <c r="J854" s="38"/>
      <c r="K854" s="38"/>
      <c r="M854" s="37"/>
      <c r="N854" s="37"/>
      <c r="O854" s="37"/>
      <c r="AD854" s="38"/>
      <c r="AE854" s="38"/>
      <c r="AF854" s="38"/>
      <c r="AG854" s="38"/>
      <c r="AH854" s="38"/>
      <c r="AJ854" s="39"/>
    </row>
    <row r="855" spans="4:36" s="36" customFormat="1" x14ac:dyDescent="0.25">
      <c r="D855" s="37"/>
      <c r="E855" s="38"/>
      <c r="F855" s="38"/>
      <c r="G855" s="38"/>
      <c r="H855" s="38"/>
      <c r="I855" s="38"/>
      <c r="J855" s="38"/>
      <c r="K855" s="38"/>
      <c r="M855" s="37"/>
      <c r="N855" s="37"/>
      <c r="O855" s="37"/>
      <c r="AD855" s="38"/>
      <c r="AE855" s="38"/>
      <c r="AF855" s="38"/>
      <c r="AG855" s="38"/>
      <c r="AH855" s="38"/>
      <c r="AJ855" s="39"/>
    </row>
    <row r="856" spans="4:36" s="36" customFormat="1" x14ac:dyDescent="0.25">
      <c r="D856" s="37"/>
      <c r="E856" s="38"/>
      <c r="F856" s="38"/>
      <c r="G856" s="38"/>
      <c r="H856" s="38"/>
      <c r="I856" s="38"/>
      <c r="J856" s="38"/>
      <c r="K856" s="38"/>
      <c r="M856" s="37"/>
      <c r="N856" s="37"/>
      <c r="O856" s="37"/>
      <c r="AD856" s="38"/>
      <c r="AE856" s="38"/>
      <c r="AF856" s="38"/>
      <c r="AG856" s="38"/>
      <c r="AH856" s="38"/>
      <c r="AJ856" s="39"/>
    </row>
    <row r="857" spans="4:36" s="36" customFormat="1" x14ac:dyDescent="0.25">
      <c r="D857" s="37"/>
      <c r="E857" s="38"/>
      <c r="F857" s="38"/>
      <c r="G857" s="38"/>
      <c r="H857" s="38"/>
      <c r="I857" s="38"/>
      <c r="J857" s="38"/>
      <c r="K857" s="38"/>
      <c r="M857" s="37"/>
      <c r="N857" s="37"/>
      <c r="O857" s="37"/>
      <c r="AD857" s="38"/>
      <c r="AE857" s="38"/>
      <c r="AF857" s="38"/>
      <c r="AG857" s="38"/>
      <c r="AH857" s="38"/>
      <c r="AJ857" s="39"/>
    </row>
    <row r="858" spans="4:36" s="36" customFormat="1" x14ac:dyDescent="0.25">
      <c r="D858" s="37"/>
      <c r="E858" s="38"/>
      <c r="F858" s="38"/>
      <c r="G858" s="38"/>
      <c r="H858" s="38"/>
      <c r="I858" s="38"/>
      <c r="J858" s="38"/>
      <c r="K858" s="38"/>
      <c r="M858" s="37"/>
      <c r="N858" s="37"/>
      <c r="O858" s="37"/>
      <c r="AD858" s="38"/>
      <c r="AE858" s="38"/>
      <c r="AF858" s="38"/>
      <c r="AG858" s="38"/>
      <c r="AH858" s="38"/>
      <c r="AJ858" s="39"/>
    </row>
    <row r="859" spans="4:36" s="36" customFormat="1" x14ac:dyDescent="0.25">
      <c r="D859" s="37"/>
      <c r="E859" s="38"/>
      <c r="F859" s="38"/>
      <c r="G859" s="38"/>
      <c r="H859" s="38"/>
      <c r="I859" s="38"/>
      <c r="J859" s="38"/>
      <c r="K859" s="38"/>
      <c r="M859" s="37"/>
      <c r="N859" s="37"/>
      <c r="O859" s="37"/>
      <c r="AD859" s="38"/>
      <c r="AE859" s="38"/>
      <c r="AF859" s="38"/>
      <c r="AG859" s="38"/>
      <c r="AH859" s="38"/>
      <c r="AJ859" s="39"/>
    </row>
    <row r="860" spans="4:36" s="36" customFormat="1" x14ac:dyDescent="0.25">
      <c r="D860" s="37"/>
      <c r="E860" s="38"/>
      <c r="F860" s="38"/>
      <c r="G860" s="38"/>
      <c r="H860" s="38"/>
      <c r="I860" s="38"/>
      <c r="J860" s="38"/>
      <c r="K860" s="38"/>
      <c r="M860" s="37"/>
      <c r="N860" s="37"/>
      <c r="O860" s="37"/>
      <c r="AD860" s="38"/>
      <c r="AE860" s="38"/>
      <c r="AF860" s="38"/>
      <c r="AG860" s="38"/>
      <c r="AH860" s="38"/>
      <c r="AJ860" s="39"/>
    </row>
    <row r="861" spans="4:36" s="36" customFormat="1" x14ac:dyDescent="0.25">
      <c r="D861" s="37"/>
      <c r="E861" s="38"/>
      <c r="F861" s="38"/>
      <c r="G861" s="38"/>
      <c r="H861" s="38"/>
      <c r="I861" s="38"/>
      <c r="J861" s="38"/>
      <c r="K861" s="38"/>
      <c r="M861" s="37"/>
      <c r="N861" s="37"/>
      <c r="O861" s="37"/>
      <c r="AD861" s="38"/>
      <c r="AE861" s="38"/>
      <c r="AF861" s="38"/>
      <c r="AG861" s="38"/>
      <c r="AH861" s="38"/>
      <c r="AJ861" s="39"/>
    </row>
    <row r="862" spans="4:36" s="36" customFormat="1" x14ac:dyDescent="0.25">
      <c r="D862" s="37"/>
      <c r="E862" s="38"/>
      <c r="F862" s="38"/>
      <c r="G862" s="38"/>
      <c r="H862" s="38"/>
      <c r="I862" s="38"/>
      <c r="J862" s="38"/>
      <c r="K862" s="38"/>
      <c r="M862" s="37"/>
      <c r="N862" s="37"/>
      <c r="O862" s="37"/>
      <c r="AD862" s="38"/>
      <c r="AE862" s="38"/>
      <c r="AF862" s="38"/>
      <c r="AG862" s="38"/>
      <c r="AH862" s="38"/>
      <c r="AJ862" s="39"/>
    </row>
    <row r="863" spans="4:36" s="36" customFormat="1" x14ac:dyDescent="0.25">
      <c r="D863" s="37"/>
      <c r="E863" s="38"/>
      <c r="F863" s="38"/>
      <c r="G863" s="38"/>
      <c r="H863" s="38"/>
      <c r="I863" s="38"/>
      <c r="J863" s="38"/>
      <c r="K863" s="38"/>
      <c r="M863" s="37"/>
      <c r="N863" s="37"/>
      <c r="O863" s="37"/>
      <c r="AD863" s="38"/>
      <c r="AE863" s="38"/>
      <c r="AF863" s="38"/>
      <c r="AG863" s="38"/>
      <c r="AH863" s="38"/>
      <c r="AJ863" s="39"/>
    </row>
    <row r="864" spans="4:36" s="36" customFormat="1" x14ac:dyDescent="0.25">
      <c r="D864" s="37"/>
      <c r="E864" s="38"/>
      <c r="F864" s="38"/>
      <c r="G864" s="38"/>
      <c r="H864" s="38"/>
      <c r="I864" s="38"/>
      <c r="J864" s="38"/>
      <c r="K864" s="38"/>
      <c r="M864" s="37"/>
      <c r="N864" s="37"/>
      <c r="O864" s="37"/>
      <c r="AD864" s="38"/>
      <c r="AE864" s="38"/>
      <c r="AF864" s="38"/>
      <c r="AG864" s="38"/>
      <c r="AH864" s="38"/>
      <c r="AJ864" s="39"/>
    </row>
    <row r="865" spans="4:36" s="36" customFormat="1" x14ac:dyDescent="0.25">
      <c r="D865" s="37"/>
      <c r="E865" s="38"/>
      <c r="F865" s="38"/>
      <c r="G865" s="38"/>
      <c r="H865" s="38"/>
      <c r="I865" s="38"/>
      <c r="J865" s="38"/>
      <c r="K865" s="38"/>
      <c r="M865" s="37"/>
      <c r="N865" s="37"/>
      <c r="O865" s="37"/>
      <c r="AD865" s="38"/>
      <c r="AE865" s="38"/>
      <c r="AF865" s="38"/>
      <c r="AG865" s="38"/>
      <c r="AH865" s="38"/>
      <c r="AJ865" s="39"/>
    </row>
    <row r="866" spans="4:36" s="36" customFormat="1" x14ac:dyDescent="0.25">
      <c r="D866" s="37"/>
      <c r="E866" s="38"/>
      <c r="F866" s="38"/>
      <c r="G866" s="38"/>
      <c r="H866" s="38"/>
      <c r="I866" s="38"/>
      <c r="J866" s="38"/>
      <c r="K866" s="38"/>
      <c r="M866" s="37"/>
      <c r="N866" s="37"/>
      <c r="O866" s="37"/>
      <c r="AD866" s="38"/>
      <c r="AE866" s="38"/>
      <c r="AF866" s="38"/>
      <c r="AG866" s="38"/>
      <c r="AH866" s="38"/>
      <c r="AJ866" s="39"/>
    </row>
    <row r="867" spans="4:36" s="36" customFormat="1" x14ac:dyDescent="0.25">
      <c r="D867" s="37"/>
      <c r="E867" s="38"/>
      <c r="F867" s="38"/>
      <c r="G867" s="38"/>
      <c r="H867" s="38"/>
      <c r="I867" s="38"/>
      <c r="J867" s="38"/>
      <c r="K867" s="38"/>
      <c r="M867" s="37"/>
      <c r="N867" s="37"/>
      <c r="O867" s="37"/>
      <c r="AD867" s="38"/>
      <c r="AE867" s="38"/>
      <c r="AF867" s="38"/>
      <c r="AG867" s="38"/>
      <c r="AH867" s="38"/>
      <c r="AJ867" s="39"/>
    </row>
    <row r="868" spans="4:36" s="36" customFormat="1" x14ac:dyDescent="0.25">
      <c r="D868" s="37"/>
      <c r="E868" s="38"/>
      <c r="F868" s="38"/>
      <c r="G868" s="38"/>
      <c r="H868" s="38"/>
      <c r="I868" s="38"/>
      <c r="J868" s="38"/>
      <c r="K868" s="38"/>
      <c r="M868" s="37"/>
      <c r="N868" s="37"/>
      <c r="O868" s="37"/>
      <c r="AD868" s="38"/>
      <c r="AE868" s="38"/>
      <c r="AF868" s="38"/>
      <c r="AG868" s="38"/>
      <c r="AH868" s="38"/>
      <c r="AJ868" s="39"/>
    </row>
    <row r="869" spans="4:36" s="36" customFormat="1" x14ac:dyDescent="0.25">
      <c r="D869" s="37"/>
      <c r="E869" s="38"/>
      <c r="F869" s="38"/>
      <c r="G869" s="38"/>
      <c r="H869" s="38"/>
      <c r="I869" s="38"/>
      <c r="J869" s="38"/>
      <c r="K869" s="38"/>
      <c r="M869" s="37"/>
      <c r="N869" s="37"/>
      <c r="O869" s="37"/>
      <c r="AD869" s="38"/>
      <c r="AE869" s="38"/>
      <c r="AF869" s="38"/>
      <c r="AG869" s="38"/>
      <c r="AH869" s="38"/>
      <c r="AJ869" s="39"/>
    </row>
    <row r="870" spans="4:36" s="36" customFormat="1" x14ac:dyDescent="0.25">
      <c r="D870" s="37"/>
      <c r="E870" s="38"/>
      <c r="F870" s="38"/>
      <c r="G870" s="38"/>
      <c r="H870" s="38"/>
      <c r="I870" s="38"/>
      <c r="J870" s="38"/>
      <c r="K870" s="38"/>
      <c r="M870" s="37"/>
      <c r="N870" s="37"/>
      <c r="O870" s="37"/>
      <c r="AD870" s="38"/>
      <c r="AE870" s="38"/>
      <c r="AF870" s="38"/>
      <c r="AG870" s="38"/>
      <c r="AH870" s="38"/>
      <c r="AJ870" s="39"/>
    </row>
    <row r="871" spans="4:36" s="36" customFormat="1" x14ac:dyDescent="0.25">
      <c r="D871" s="37"/>
      <c r="E871" s="38"/>
      <c r="F871" s="38"/>
      <c r="G871" s="38"/>
      <c r="H871" s="38"/>
      <c r="I871" s="38"/>
      <c r="J871" s="38"/>
      <c r="K871" s="38"/>
      <c r="M871" s="37"/>
      <c r="N871" s="37"/>
      <c r="O871" s="37"/>
      <c r="AD871" s="38"/>
      <c r="AE871" s="38"/>
      <c r="AF871" s="38"/>
      <c r="AG871" s="38"/>
      <c r="AH871" s="38"/>
      <c r="AJ871" s="39"/>
    </row>
    <row r="872" spans="4:36" s="36" customFormat="1" x14ac:dyDescent="0.25">
      <c r="D872" s="37"/>
      <c r="E872" s="38"/>
      <c r="F872" s="38"/>
      <c r="G872" s="38"/>
      <c r="H872" s="38"/>
      <c r="I872" s="38"/>
      <c r="J872" s="38"/>
      <c r="K872" s="38"/>
      <c r="M872" s="37"/>
      <c r="N872" s="37"/>
      <c r="O872" s="37"/>
      <c r="AD872" s="38"/>
      <c r="AE872" s="38"/>
      <c r="AF872" s="38"/>
      <c r="AG872" s="38"/>
      <c r="AH872" s="38"/>
      <c r="AJ872" s="39"/>
    </row>
    <row r="873" spans="4:36" s="36" customFormat="1" x14ac:dyDescent="0.25">
      <c r="D873" s="37"/>
      <c r="E873" s="38"/>
      <c r="F873" s="38"/>
      <c r="G873" s="38"/>
      <c r="H873" s="38"/>
      <c r="I873" s="38"/>
      <c r="J873" s="38"/>
      <c r="K873" s="38"/>
      <c r="M873" s="37"/>
      <c r="N873" s="37"/>
      <c r="O873" s="37"/>
      <c r="AD873" s="38"/>
      <c r="AE873" s="38"/>
      <c r="AF873" s="38"/>
      <c r="AG873" s="38"/>
      <c r="AH873" s="38"/>
      <c r="AJ873" s="39"/>
    </row>
    <row r="874" spans="4:36" s="36" customFormat="1" x14ac:dyDescent="0.25">
      <c r="D874" s="37"/>
      <c r="E874" s="38"/>
      <c r="F874" s="38"/>
      <c r="G874" s="38"/>
      <c r="H874" s="38"/>
      <c r="I874" s="38"/>
      <c r="J874" s="38"/>
      <c r="K874" s="38"/>
      <c r="M874" s="37"/>
      <c r="N874" s="37"/>
      <c r="O874" s="37"/>
      <c r="AD874" s="38"/>
      <c r="AE874" s="38"/>
      <c r="AF874" s="38"/>
      <c r="AG874" s="38"/>
      <c r="AH874" s="38"/>
      <c r="AJ874" s="39"/>
    </row>
    <row r="875" spans="4:36" s="36" customFormat="1" x14ac:dyDescent="0.25">
      <c r="D875" s="37"/>
      <c r="E875" s="38"/>
      <c r="F875" s="38"/>
      <c r="G875" s="38"/>
      <c r="H875" s="38"/>
      <c r="I875" s="38"/>
      <c r="J875" s="38"/>
      <c r="K875" s="38"/>
      <c r="M875" s="37"/>
      <c r="N875" s="37"/>
      <c r="O875" s="37"/>
      <c r="AD875" s="38"/>
      <c r="AE875" s="38"/>
      <c r="AF875" s="38"/>
      <c r="AG875" s="38"/>
      <c r="AH875" s="38"/>
      <c r="AJ875" s="39"/>
    </row>
    <row r="876" spans="4:36" s="36" customFormat="1" x14ac:dyDescent="0.25">
      <c r="D876" s="37"/>
      <c r="E876" s="38"/>
      <c r="F876" s="38"/>
      <c r="G876" s="38"/>
      <c r="H876" s="38"/>
      <c r="I876" s="38"/>
      <c r="J876" s="38"/>
      <c r="K876" s="38"/>
      <c r="M876" s="37"/>
      <c r="N876" s="37"/>
      <c r="O876" s="37"/>
      <c r="AD876" s="38"/>
      <c r="AE876" s="38"/>
      <c r="AF876" s="38"/>
      <c r="AG876" s="38"/>
      <c r="AH876" s="38"/>
      <c r="AJ876" s="39"/>
    </row>
    <row r="877" spans="4:36" s="36" customFormat="1" x14ac:dyDescent="0.25">
      <c r="D877" s="37"/>
      <c r="E877" s="38"/>
      <c r="F877" s="38"/>
      <c r="G877" s="38"/>
      <c r="H877" s="38"/>
      <c r="I877" s="38"/>
      <c r="J877" s="38"/>
      <c r="K877" s="38"/>
      <c r="M877" s="37"/>
      <c r="N877" s="37"/>
      <c r="O877" s="37"/>
      <c r="AD877" s="38"/>
      <c r="AE877" s="38"/>
      <c r="AF877" s="38"/>
      <c r="AG877" s="38"/>
      <c r="AH877" s="38"/>
      <c r="AJ877" s="39"/>
    </row>
    <row r="878" spans="4:36" s="36" customFormat="1" x14ac:dyDescent="0.25">
      <c r="D878" s="37"/>
      <c r="E878" s="38"/>
      <c r="F878" s="38"/>
      <c r="G878" s="38"/>
      <c r="H878" s="38"/>
      <c r="I878" s="38"/>
      <c r="J878" s="38"/>
      <c r="K878" s="38"/>
      <c r="M878" s="37"/>
      <c r="N878" s="37"/>
      <c r="O878" s="37"/>
      <c r="AD878" s="38"/>
      <c r="AE878" s="38"/>
      <c r="AF878" s="38"/>
      <c r="AG878" s="38"/>
      <c r="AH878" s="38"/>
      <c r="AJ878" s="39"/>
    </row>
    <row r="879" spans="4:36" s="36" customFormat="1" x14ac:dyDescent="0.25">
      <c r="D879" s="37"/>
      <c r="E879" s="38"/>
      <c r="F879" s="38"/>
      <c r="G879" s="38"/>
      <c r="H879" s="38"/>
      <c r="I879" s="38"/>
      <c r="J879" s="38"/>
      <c r="K879" s="38"/>
      <c r="M879" s="37"/>
      <c r="N879" s="37"/>
      <c r="O879" s="37"/>
      <c r="AD879" s="38"/>
      <c r="AE879" s="38"/>
      <c r="AF879" s="38"/>
      <c r="AG879" s="38"/>
      <c r="AH879" s="38"/>
      <c r="AJ879" s="39"/>
    </row>
    <row r="880" spans="4:36" s="36" customFormat="1" x14ac:dyDescent="0.25">
      <c r="D880" s="37"/>
      <c r="E880" s="38"/>
      <c r="F880" s="38"/>
      <c r="G880" s="38"/>
      <c r="H880" s="38"/>
      <c r="I880" s="38"/>
      <c r="J880" s="38"/>
      <c r="K880" s="38"/>
      <c r="M880" s="37"/>
      <c r="N880" s="37"/>
      <c r="O880" s="37"/>
      <c r="AD880" s="38"/>
      <c r="AE880" s="38"/>
      <c r="AF880" s="38"/>
      <c r="AG880" s="38"/>
      <c r="AH880" s="38"/>
      <c r="AJ880" s="39"/>
    </row>
    <row r="881" spans="4:36" s="36" customFormat="1" x14ac:dyDescent="0.25">
      <c r="D881" s="37"/>
      <c r="E881" s="38"/>
      <c r="F881" s="38"/>
      <c r="G881" s="38"/>
      <c r="H881" s="38"/>
      <c r="I881" s="38"/>
      <c r="J881" s="38"/>
      <c r="K881" s="38"/>
      <c r="M881" s="37"/>
      <c r="N881" s="37"/>
      <c r="O881" s="37"/>
      <c r="AD881" s="38"/>
      <c r="AE881" s="38"/>
      <c r="AF881" s="38"/>
      <c r="AG881" s="38"/>
      <c r="AH881" s="38"/>
      <c r="AJ881" s="39"/>
    </row>
    <row r="882" spans="4:36" s="36" customFormat="1" x14ac:dyDescent="0.25">
      <c r="D882" s="37"/>
      <c r="E882" s="38"/>
      <c r="F882" s="38"/>
      <c r="G882" s="38"/>
      <c r="H882" s="38"/>
      <c r="I882" s="38"/>
      <c r="J882" s="38"/>
      <c r="K882" s="38"/>
      <c r="M882" s="37"/>
      <c r="N882" s="37"/>
      <c r="O882" s="37"/>
      <c r="AD882" s="38"/>
      <c r="AE882" s="38"/>
      <c r="AF882" s="38"/>
      <c r="AG882" s="38"/>
      <c r="AH882" s="38"/>
      <c r="AJ882" s="39"/>
    </row>
    <row r="883" spans="4:36" s="36" customFormat="1" x14ac:dyDescent="0.25">
      <c r="D883" s="37"/>
      <c r="E883" s="38"/>
      <c r="F883" s="38"/>
      <c r="G883" s="38"/>
      <c r="H883" s="38"/>
      <c r="I883" s="38"/>
      <c r="J883" s="38"/>
      <c r="K883" s="38"/>
      <c r="M883" s="37"/>
      <c r="N883" s="37"/>
      <c r="O883" s="37"/>
      <c r="AD883" s="38"/>
      <c r="AE883" s="38"/>
      <c r="AF883" s="38"/>
      <c r="AG883" s="38"/>
      <c r="AH883" s="38"/>
      <c r="AJ883" s="39"/>
    </row>
    <row r="884" spans="4:36" s="36" customFormat="1" x14ac:dyDescent="0.25">
      <c r="D884" s="37"/>
      <c r="E884" s="38"/>
      <c r="F884" s="38"/>
      <c r="G884" s="38"/>
      <c r="H884" s="38"/>
      <c r="I884" s="38"/>
      <c r="J884" s="38"/>
      <c r="K884" s="38"/>
      <c r="M884" s="37"/>
      <c r="N884" s="37"/>
      <c r="O884" s="37"/>
      <c r="AD884" s="38"/>
      <c r="AE884" s="38"/>
      <c r="AF884" s="38"/>
      <c r="AG884" s="38"/>
      <c r="AH884" s="38"/>
      <c r="AJ884" s="39"/>
    </row>
    <row r="885" spans="4:36" s="36" customFormat="1" x14ac:dyDescent="0.25">
      <c r="D885" s="37"/>
      <c r="E885" s="38"/>
      <c r="F885" s="38"/>
      <c r="G885" s="38"/>
      <c r="H885" s="38"/>
      <c r="I885" s="38"/>
      <c r="J885" s="38"/>
      <c r="K885" s="38"/>
      <c r="M885" s="37"/>
      <c r="N885" s="37"/>
      <c r="O885" s="37"/>
      <c r="AD885" s="38"/>
      <c r="AE885" s="38"/>
      <c r="AF885" s="38"/>
      <c r="AG885" s="38"/>
      <c r="AH885" s="38"/>
      <c r="AJ885" s="39"/>
    </row>
    <row r="886" spans="4:36" s="36" customFormat="1" x14ac:dyDescent="0.25">
      <c r="D886" s="37"/>
      <c r="E886" s="38"/>
      <c r="F886" s="38"/>
      <c r="G886" s="38"/>
      <c r="H886" s="38"/>
      <c r="I886" s="38"/>
      <c r="J886" s="38"/>
      <c r="K886" s="38"/>
      <c r="M886" s="37"/>
      <c r="N886" s="37"/>
      <c r="O886" s="37"/>
      <c r="AD886" s="38"/>
      <c r="AE886" s="38"/>
      <c r="AF886" s="38"/>
      <c r="AG886" s="38"/>
      <c r="AH886" s="38"/>
      <c r="AJ886" s="39"/>
    </row>
    <row r="887" spans="4:36" s="36" customFormat="1" x14ac:dyDescent="0.25">
      <c r="D887" s="37"/>
      <c r="E887" s="38"/>
      <c r="F887" s="38"/>
      <c r="G887" s="38"/>
      <c r="H887" s="38"/>
      <c r="I887" s="38"/>
      <c r="J887" s="38"/>
      <c r="K887" s="38"/>
      <c r="M887" s="37"/>
      <c r="N887" s="37"/>
      <c r="O887" s="37"/>
      <c r="AD887" s="38"/>
      <c r="AE887" s="38"/>
      <c r="AF887" s="38"/>
      <c r="AG887" s="38"/>
      <c r="AH887" s="38"/>
      <c r="AJ887" s="39"/>
    </row>
    <row r="888" spans="4:36" s="36" customFormat="1" x14ac:dyDescent="0.25">
      <c r="D888" s="37"/>
      <c r="E888" s="38"/>
      <c r="F888" s="38"/>
      <c r="G888" s="38"/>
      <c r="H888" s="38"/>
      <c r="I888" s="38"/>
      <c r="J888" s="38"/>
      <c r="K888" s="38"/>
      <c r="M888" s="37"/>
      <c r="N888" s="37"/>
      <c r="O888" s="37"/>
      <c r="AD888" s="38"/>
      <c r="AE888" s="38"/>
      <c r="AF888" s="38"/>
      <c r="AG888" s="38"/>
      <c r="AH888" s="38"/>
      <c r="AJ888" s="39"/>
    </row>
    <row r="889" spans="4:36" s="36" customFormat="1" x14ac:dyDescent="0.25">
      <c r="D889" s="37"/>
      <c r="E889" s="38"/>
      <c r="F889" s="38"/>
      <c r="G889" s="38"/>
      <c r="H889" s="38"/>
      <c r="I889" s="38"/>
      <c r="J889" s="38"/>
      <c r="K889" s="38"/>
      <c r="M889" s="37"/>
      <c r="N889" s="37"/>
      <c r="O889" s="37"/>
      <c r="AD889" s="38"/>
      <c r="AE889" s="38"/>
      <c r="AF889" s="38"/>
      <c r="AG889" s="38"/>
      <c r="AH889" s="38"/>
      <c r="AJ889" s="39"/>
    </row>
    <row r="890" spans="4:36" s="36" customFormat="1" x14ac:dyDescent="0.25">
      <c r="D890" s="37"/>
      <c r="E890" s="38"/>
      <c r="F890" s="38"/>
      <c r="G890" s="38"/>
      <c r="H890" s="38"/>
      <c r="I890" s="38"/>
      <c r="J890" s="38"/>
      <c r="K890" s="38"/>
      <c r="M890" s="37"/>
      <c r="N890" s="37"/>
      <c r="O890" s="37"/>
      <c r="AD890" s="38"/>
      <c r="AE890" s="38"/>
      <c r="AF890" s="38"/>
      <c r="AG890" s="38"/>
      <c r="AH890" s="38"/>
      <c r="AJ890" s="39"/>
    </row>
    <row r="891" spans="4:36" s="36" customFormat="1" x14ac:dyDescent="0.25">
      <c r="D891" s="37"/>
      <c r="E891" s="38"/>
      <c r="F891" s="38"/>
      <c r="G891" s="38"/>
      <c r="H891" s="38"/>
      <c r="I891" s="38"/>
      <c r="J891" s="38"/>
      <c r="K891" s="38"/>
      <c r="M891" s="37"/>
      <c r="N891" s="37"/>
      <c r="O891" s="37"/>
      <c r="AD891" s="38"/>
      <c r="AE891" s="38"/>
      <c r="AF891" s="38"/>
      <c r="AG891" s="38"/>
      <c r="AH891" s="38"/>
      <c r="AJ891" s="39"/>
    </row>
    <row r="892" spans="4:36" s="36" customFormat="1" x14ac:dyDescent="0.25">
      <c r="D892" s="37"/>
      <c r="E892" s="38"/>
      <c r="F892" s="38"/>
      <c r="G892" s="38"/>
      <c r="H892" s="38"/>
      <c r="I892" s="38"/>
      <c r="J892" s="38"/>
      <c r="K892" s="38"/>
      <c r="M892" s="37"/>
      <c r="N892" s="37"/>
      <c r="O892" s="37"/>
      <c r="AD892" s="38"/>
      <c r="AE892" s="38"/>
      <c r="AF892" s="38"/>
      <c r="AG892" s="38"/>
      <c r="AH892" s="38"/>
      <c r="AJ892" s="39"/>
    </row>
    <row r="893" spans="4:36" s="36" customFormat="1" x14ac:dyDescent="0.25">
      <c r="D893" s="37"/>
      <c r="E893" s="38"/>
      <c r="F893" s="38"/>
      <c r="G893" s="38"/>
      <c r="H893" s="38"/>
      <c r="I893" s="38"/>
      <c r="J893" s="38"/>
      <c r="K893" s="38"/>
      <c r="M893" s="37"/>
      <c r="N893" s="37"/>
      <c r="O893" s="37"/>
      <c r="AD893" s="38"/>
      <c r="AE893" s="38"/>
      <c r="AF893" s="38"/>
      <c r="AG893" s="38"/>
      <c r="AH893" s="38"/>
      <c r="AJ893" s="39"/>
    </row>
    <row r="894" spans="4:36" s="36" customFormat="1" x14ac:dyDescent="0.25">
      <c r="D894" s="37"/>
      <c r="E894" s="38"/>
      <c r="F894" s="38"/>
      <c r="G894" s="38"/>
      <c r="H894" s="38"/>
      <c r="I894" s="38"/>
      <c r="J894" s="38"/>
      <c r="K894" s="38"/>
      <c r="M894" s="37"/>
      <c r="N894" s="37"/>
      <c r="O894" s="37"/>
      <c r="AD894" s="38"/>
      <c r="AE894" s="38"/>
      <c r="AF894" s="38"/>
      <c r="AG894" s="38"/>
      <c r="AH894" s="38"/>
      <c r="AJ894" s="39"/>
    </row>
    <row r="895" spans="4:36" s="36" customFormat="1" x14ac:dyDescent="0.25">
      <c r="D895" s="37"/>
      <c r="E895" s="38"/>
      <c r="F895" s="38"/>
      <c r="G895" s="38"/>
      <c r="H895" s="38"/>
      <c r="I895" s="38"/>
      <c r="J895" s="38"/>
      <c r="K895" s="38"/>
      <c r="M895" s="37"/>
      <c r="N895" s="37"/>
      <c r="O895" s="37"/>
      <c r="AD895" s="38"/>
      <c r="AE895" s="38"/>
      <c r="AF895" s="38"/>
      <c r="AG895" s="38"/>
      <c r="AH895" s="38"/>
      <c r="AJ895" s="39"/>
    </row>
    <row r="896" spans="4:36" s="36" customFormat="1" x14ac:dyDescent="0.25">
      <c r="D896" s="37"/>
      <c r="E896" s="38"/>
      <c r="F896" s="38"/>
      <c r="G896" s="38"/>
      <c r="H896" s="38"/>
      <c r="I896" s="38"/>
      <c r="J896" s="38"/>
      <c r="K896" s="38"/>
      <c r="M896" s="37"/>
      <c r="N896" s="37"/>
      <c r="O896" s="37"/>
      <c r="AD896" s="38"/>
      <c r="AE896" s="38"/>
      <c r="AF896" s="38"/>
      <c r="AG896" s="38"/>
      <c r="AH896" s="38"/>
      <c r="AJ896" s="39"/>
    </row>
    <row r="897" spans="4:36" s="36" customFormat="1" x14ac:dyDescent="0.25">
      <c r="D897" s="37"/>
      <c r="E897" s="38"/>
      <c r="F897" s="38"/>
      <c r="G897" s="38"/>
      <c r="H897" s="38"/>
      <c r="I897" s="38"/>
      <c r="J897" s="38"/>
      <c r="K897" s="38"/>
      <c r="M897" s="37"/>
      <c r="N897" s="37"/>
      <c r="O897" s="37"/>
      <c r="AD897" s="38"/>
      <c r="AE897" s="38"/>
      <c r="AF897" s="38"/>
      <c r="AG897" s="38"/>
      <c r="AH897" s="38"/>
      <c r="AJ897" s="39"/>
    </row>
    <row r="898" spans="4:36" s="36" customFormat="1" x14ac:dyDescent="0.25">
      <c r="D898" s="37"/>
      <c r="E898" s="38"/>
      <c r="F898" s="38"/>
      <c r="G898" s="38"/>
      <c r="H898" s="38"/>
      <c r="I898" s="38"/>
      <c r="J898" s="38"/>
      <c r="K898" s="38"/>
      <c r="M898" s="37"/>
      <c r="N898" s="37"/>
      <c r="O898" s="37"/>
      <c r="AD898" s="38"/>
      <c r="AE898" s="38"/>
      <c r="AF898" s="38"/>
      <c r="AG898" s="38"/>
      <c r="AH898" s="38"/>
      <c r="AJ898" s="39"/>
    </row>
    <row r="899" spans="4:36" s="36" customFormat="1" x14ac:dyDescent="0.25">
      <c r="D899" s="37"/>
      <c r="E899" s="38"/>
      <c r="F899" s="38"/>
      <c r="G899" s="38"/>
      <c r="H899" s="38"/>
      <c r="I899" s="38"/>
      <c r="J899" s="38"/>
      <c r="K899" s="38"/>
      <c r="M899" s="37"/>
      <c r="N899" s="37"/>
      <c r="O899" s="37"/>
      <c r="AD899" s="38"/>
      <c r="AE899" s="38"/>
      <c r="AF899" s="38"/>
      <c r="AG899" s="38"/>
      <c r="AH899" s="38"/>
      <c r="AJ899" s="39"/>
    </row>
    <row r="900" spans="4:36" s="36" customFormat="1" x14ac:dyDescent="0.25">
      <c r="D900" s="37"/>
      <c r="E900" s="38"/>
      <c r="F900" s="38"/>
      <c r="G900" s="38"/>
      <c r="H900" s="38"/>
      <c r="I900" s="38"/>
      <c r="J900" s="38"/>
      <c r="K900" s="38"/>
      <c r="M900" s="37"/>
      <c r="N900" s="37"/>
      <c r="O900" s="37"/>
      <c r="AD900" s="38"/>
      <c r="AE900" s="38"/>
      <c r="AF900" s="38"/>
      <c r="AG900" s="38"/>
      <c r="AH900" s="38"/>
      <c r="AJ900" s="39"/>
    </row>
    <row r="901" spans="4:36" s="36" customFormat="1" x14ac:dyDescent="0.25">
      <c r="D901" s="37"/>
      <c r="E901" s="38"/>
      <c r="F901" s="38"/>
      <c r="G901" s="38"/>
      <c r="H901" s="38"/>
      <c r="I901" s="38"/>
      <c r="J901" s="38"/>
      <c r="K901" s="38"/>
      <c r="M901" s="37"/>
      <c r="N901" s="37"/>
      <c r="O901" s="37"/>
      <c r="AD901" s="38"/>
      <c r="AE901" s="38"/>
      <c r="AF901" s="38"/>
      <c r="AG901" s="38"/>
      <c r="AH901" s="38"/>
      <c r="AJ901" s="39"/>
    </row>
    <row r="902" spans="4:36" s="36" customFormat="1" x14ac:dyDescent="0.25">
      <c r="D902" s="37"/>
      <c r="E902" s="38"/>
      <c r="F902" s="38"/>
      <c r="G902" s="38"/>
      <c r="H902" s="38"/>
      <c r="I902" s="38"/>
      <c r="J902" s="38"/>
      <c r="K902" s="38"/>
      <c r="M902" s="37"/>
      <c r="N902" s="37"/>
      <c r="O902" s="37"/>
      <c r="AD902" s="38"/>
      <c r="AE902" s="38"/>
      <c r="AF902" s="38"/>
      <c r="AG902" s="38"/>
      <c r="AH902" s="38"/>
      <c r="AJ902" s="39"/>
    </row>
    <row r="903" spans="4:36" s="36" customFormat="1" x14ac:dyDescent="0.25">
      <c r="D903" s="37"/>
      <c r="E903" s="38"/>
      <c r="F903" s="38"/>
      <c r="G903" s="38"/>
      <c r="H903" s="38"/>
      <c r="I903" s="38"/>
      <c r="J903" s="38"/>
      <c r="K903" s="38"/>
      <c r="M903" s="37"/>
      <c r="N903" s="37"/>
      <c r="O903" s="37"/>
      <c r="AD903" s="38"/>
      <c r="AE903" s="38"/>
      <c r="AF903" s="38"/>
      <c r="AG903" s="38"/>
      <c r="AH903" s="38"/>
      <c r="AJ903" s="39"/>
    </row>
    <row r="904" spans="4:36" s="36" customFormat="1" x14ac:dyDescent="0.25">
      <c r="D904" s="37"/>
      <c r="E904" s="38"/>
      <c r="F904" s="38"/>
      <c r="G904" s="38"/>
      <c r="H904" s="38"/>
      <c r="I904" s="38"/>
      <c r="J904" s="38"/>
      <c r="K904" s="38"/>
      <c r="M904" s="37"/>
      <c r="N904" s="37"/>
      <c r="O904" s="37"/>
      <c r="AD904" s="38"/>
      <c r="AE904" s="38"/>
      <c r="AF904" s="38"/>
      <c r="AG904" s="38"/>
      <c r="AH904" s="38"/>
      <c r="AJ904" s="39"/>
    </row>
    <row r="905" spans="4:36" s="36" customFormat="1" x14ac:dyDescent="0.25">
      <c r="D905" s="37"/>
      <c r="E905" s="38"/>
      <c r="F905" s="38"/>
      <c r="G905" s="38"/>
      <c r="H905" s="38"/>
      <c r="I905" s="38"/>
      <c r="J905" s="38"/>
      <c r="K905" s="38"/>
      <c r="M905" s="37"/>
      <c r="N905" s="37"/>
      <c r="O905" s="37"/>
      <c r="AD905" s="38"/>
      <c r="AE905" s="38"/>
      <c r="AF905" s="38"/>
      <c r="AG905" s="38"/>
      <c r="AH905" s="38"/>
      <c r="AJ905" s="39"/>
    </row>
    <row r="906" spans="4:36" s="36" customFormat="1" x14ac:dyDescent="0.25">
      <c r="D906" s="37"/>
      <c r="E906" s="38"/>
      <c r="F906" s="38"/>
      <c r="G906" s="38"/>
      <c r="H906" s="38"/>
      <c r="I906" s="38"/>
      <c r="J906" s="38"/>
      <c r="K906" s="38"/>
      <c r="M906" s="37"/>
      <c r="N906" s="37"/>
      <c r="O906" s="37"/>
      <c r="AD906" s="38"/>
      <c r="AE906" s="38"/>
      <c r="AF906" s="38"/>
      <c r="AG906" s="38"/>
      <c r="AH906" s="38"/>
      <c r="AJ906" s="39"/>
    </row>
    <row r="907" spans="4:36" s="36" customFormat="1" x14ac:dyDescent="0.25">
      <c r="D907" s="37"/>
      <c r="E907" s="38"/>
      <c r="F907" s="38"/>
      <c r="G907" s="38"/>
      <c r="H907" s="38"/>
      <c r="I907" s="38"/>
      <c r="J907" s="38"/>
      <c r="K907" s="38"/>
      <c r="M907" s="37"/>
      <c r="N907" s="37"/>
      <c r="O907" s="37"/>
      <c r="AD907" s="38"/>
      <c r="AE907" s="38"/>
      <c r="AF907" s="38"/>
      <c r="AG907" s="38"/>
      <c r="AH907" s="38"/>
      <c r="AJ907" s="39"/>
    </row>
    <row r="908" spans="4:36" s="36" customFormat="1" x14ac:dyDescent="0.25">
      <c r="D908" s="37"/>
      <c r="E908" s="38"/>
      <c r="F908" s="38"/>
      <c r="G908" s="38"/>
      <c r="H908" s="38"/>
      <c r="I908" s="38"/>
      <c r="J908" s="38"/>
      <c r="K908" s="38"/>
      <c r="M908" s="37"/>
      <c r="N908" s="37"/>
      <c r="O908" s="37"/>
      <c r="AD908" s="38"/>
      <c r="AE908" s="38"/>
      <c r="AF908" s="38"/>
      <c r="AG908" s="38"/>
      <c r="AH908" s="38"/>
      <c r="AJ908" s="39"/>
    </row>
    <row r="909" spans="4:36" s="36" customFormat="1" x14ac:dyDescent="0.25">
      <c r="D909" s="37"/>
      <c r="E909" s="38"/>
      <c r="F909" s="38"/>
      <c r="G909" s="38"/>
      <c r="H909" s="38"/>
      <c r="I909" s="38"/>
      <c r="J909" s="38"/>
      <c r="K909" s="38"/>
      <c r="M909" s="37"/>
      <c r="N909" s="37"/>
      <c r="O909" s="37"/>
      <c r="AD909" s="38"/>
      <c r="AE909" s="38"/>
      <c r="AF909" s="38"/>
      <c r="AG909" s="38"/>
      <c r="AH909" s="38"/>
      <c r="AJ909" s="39"/>
    </row>
    <row r="910" spans="4:36" s="36" customFormat="1" x14ac:dyDescent="0.25">
      <c r="D910" s="37"/>
      <c r="E910" s="38"/>
      <c r="F910" s="38"/>
      <c r="G910" s="38"/>
      <c r="H910" s="38"/>
      <c r="I910" s="38"/>
      <c r="J910" s="38"/>
      <c r="K910" s="38"/>
      <c r="M910" s="37"/>
      <c r="N910" s="37"/>
      <c r="O910" s="37"/>
      <c r="AD910" s="38"/>
      <c r="AE910" s="38"/>
      <c r="AF910" s="38"/>
      <c r="AG910" s="38"/>
      <c r="AH910" s="38"/>
      <c r="AJ910" s="39"/>
    </row>
    <row r="911" spans="4:36" s="36" customFormat="1" x14ac:dyDescent="0.25">
      <c r="D911" s="37"/>
      <c r="E911" s="38"/>
      <c r="F911" s="38"/>
      <c r="G911" s="38"/>
      <c r="H911" s="38"/>
      <c r="I911" s="38"/>
      <c r="J911" s="38"/>
      <c r="K911" s="38"/>
      <c r="M911" s="37"/>
      <c r="N911" s="37"/>
      <c r="O911" s="37"/>
      <c r="AD911" s="38"/>
      <c r="AE911" s="38"/>
      <c r="AF911" s="38"/>
      <c r="AG911" s="38"/>
      <c r="AH911" s="38"/>
      <c r="AJ911" s="39"/>
    </row>
    <row r="912" spans="4:36" s="36" customFormat="1" x14ac:dyDescent="0.25">
      <c r="D912" s="37"/>
      <c r="E912" s="38"/>
      <c r="F912" s="38"/>
      <c r="G912" s="38"/>
      <c r="H912" s="38"/>
      <c r="I912" s="38"/>
      <c r="J912" s="38"/>
      <c r="K912" s="38"/>
      <c r="M912" s="37"/>
      <c r="N912" s="37"/>
      <c r="O912" s="37"/>
      <c r="AD912" s="38"/>
      <c r="AE912" s="38"/>
      <c r="AF912" s="38"/>
      <c r="AG912" s="38"/>
      <c r="AH912" s="38"/>
      <c r="AJ912" s="39"/>
    </row>
    <row r="913" spans="4:36" s="36" customFormat="1" x14ac:dyDescent="0.25">
      <c r="D913" s="37"/>
      <c r="E913" s="38"/>
      <c r="F913" s="38"/>
      <c r="G913" s="38"/>
      <c r="H913" s="38"/>
      <c r="I913" s="38"/>
      <c r="J913" s="38"/>
      <c r="K913" s="38"/>
      <c r="M913" s="37"/>
      <c r="N913" s="37"/>
      <c r="O913" s="37"/>
      <c r="AD913" s="38"/>
      <c r="AE913" s="38"/>
      <c r="AF913" s="38"/>
      <c r="AG913" s="38"/>
      <c r="AH913" s="38"/>
      <c r="AJ913" s="39"/>
    </row>
    <row r="914" spans="4:36" s="36" customFormat="1" x14ac:dyDescent="0.25">
      <c r="D914" s="37"/>
      <c r="E914" s="38"/>
      <c r="F914" s="38"/>
      <c r="G914" s="38"/>
      <c r="H914" s="38"/>
      <c r="I914" s="38"/>
      <c r="J914" s="38"/>
      <c r="K914" s="38"/>
      <c r="M914" s="37"/>
      <c r="N914" s="37"/>
      <c r="O914" s="37"/>
      <c r="AD914" s="38"/>
      <c r="AE914" s="38"/>
      <c r="AF914" s="38"/>
      <c r="AG914" s="38"/>
      <c r="AH914" s="38"/>
      <c r="AJ914" s="39"/>
    </row>
    <row r="915" spans="4:36" s="36" customFormat="1" x14ac:dyDescent="0.25">
      <c r="D915" s="37"/>
      <c r="E915" s="38"/>
      <c r="F915" s="38"/>
      <c r="G915" s="38"/>
      <c r="H915" s="38"/>
      <c r="I915" s="38"/>
      <c r="J915" s="38"/>
      <c r="K915" s="38"/>
      <c r="M915" s="37"/>
      <c r="N915" s="37"/>
      <c r="O915" s="37"/>
      <c r="AD915" s="38"/>
      <c r="AE915" s="38"/>
      <c r="AF915" s="38"/>
      <c r="AG915" s="38"/>
      <c r="AH915" s="38"/>
      <c r="AJ915" s="39"/>
    </row>
    <row r="916" spans="4:36" s="36" customFormat="1" x14ac:dyDescent="0.25">
      <c r="D916" s="37"/>
      <c r="E916" s="38"/>
      <c r="F916" s="38"/>
      <c r="G916" s="38"/>
      <c r="H916" s="38"/>
      <c r="I916" s="38"/>
      <c r="J916" s="38"/>
      <c r="K916" s="38"/>
      <c r="M916" s="37"/>
      <c r="N916" s="37"/>
      <c r="O916" s="37"/>
      <c r="AD916" s="38"/>
      <c r="AE916" s="38"/>
      <c r="AF916" s="38"/>
      <c r="AG916" s="38"/>
      <c r="AH916" s="38"/>
      <c r="AJ916" s="39"/>
    </row>
    <row r="917" spans="4:36" s="36" customFormat="1" x14ac:dyDescent="0.25">
      <c r="D917" s="37"/>
      <c r="E917" s="38"/>
      <c r="F917" s="38"/>
      <c r="G917" s="38"/>
      <c r="H917" s="38"/>
      <c r="I917" s="38"/>
      <c r="J917" s="38"/>
      <c r="K917" s="38"/>
      <c r="M917" s="37"/>
      <c r="N917" s="37"/>
      <c r="O917" s="37"/>
      <c r="AD917" s="38"/>
      <c r="AE917" s="38"/>
      <c r="AF917" s="38"/>
      <c r="AG917" s="38"/>
      <c r="AH917" s="38"/>
      <c r="AJ917" s="39"/>
    </row>
    <row r="918" spans="4:36" s="36" customFormat="1" x14ac:dyDescent="0.25">
      <c r="D918" s="37"/>
      <c r="E918" s="38"/>
      <c r="F918" s="38"/>
      <c r="G918" s="38"/>
      <c r="H918" s="38"/>
      <c r="I918" s="38"/>
      <c r="J918" s="38"/>
      <c r="K918" s="38"/>
      <c r="M918" s="37"/>
      <c r="N918" s="37"/>
      <c r="O918" s="37"/>
      <c r="AD918" s="38"/>
      <c r="AE918" s="38"/>
      <c r="AF918" s="38"/>
      <c r="AG918" s="38"/>
      <c r="AH918" s="38"/>
      <c r="AJ918" s="39"/>
    </row>
    <row r="919" spans="4:36" s="36" customFormat="1" x14ac:dyDescent="0.25">
      <c r="D919" s="37"/>
      <c r="E919" s="38"/>
      <c r="F919" s="38"/>
      <c r="G919" s="38"/>
      <c r="H919" s="38"/>
      <c r="I919" s="38"/>
      <c r="J919" s="38"/>
      <c r="K919" s="38"/>
      <c r="M919" s="37"/>
      <c r="N919" s="37"/>
      <c r="O919" s="37"/>
      <c r="AD919" s="38"/>
      <c r="AE919" s="38"/>
      <c r="AF919" s="38"/>
      <c r="AG919" s="38"/>
      <c r="AH919" s="38"/>
      <c r="AJ919" s="39"/>
    </row>
    <row r="920" spans="4:36" s="36" customFormat="1" x14ac:dyDescent="0.25">
      <c r="D920" s="37"/>
      <c r="E920" s="38"/>
      <c r="F920" s="38"/>
      <c r="G920" s="38"/>
      <c r="H920" s="38"/>
      <c r="I920" s="38"/>
      <c r="J920" s="38"/>
      <c r="K920" s="38"/>
      <c r="M920" s="37"/>
      <c r="N920" s="37"/>
      <c r="O920" s="37"/>
      <c r="AD920" s="38"/>
      <c r="AE920" s="38"/>
      <c r="AF920" s="38"/>
      <c r="AG920" s="38"/>
      <c r="AH920" s="38"/>
      <c r="AJ920" s="39"/>
    </row>
    <row r="921" spans="4:36" s="36" customFormat="1" x14ac:dyDescent="0.25">
      <c r="D921" s="37"/>
      <c r="E921" s="38"/>
      <c r="F921" s="38"/>
      <c r="G921" s="38"/>
      <c r="H921" s="38"/>
      <c r="I921" s="38"/>
      <c r="J921" s="38"/>
      <c r="K921" s="38"/>
      <c r="M921" s="37"/>
      <c r="N921" s="37"/>
      <c r="O921" s="37"/>
      <c r="AD921" s="38"/>
      <c r="AE921" s="38"/>
      <c r="AF921" s="38"/>
      <c r="AG921" s="38"/>
      <c r="AH921" s="38"/>
      <c r="AJ921" s="39"/>
    </row>
    <row r="922" spans="4:36" s="36" customFormat="1" x14ac:dyDescent="0.25">
      <c r="D922" s="37"/>
      <c r="E922" s="38"/>
      <c r="F922" s="38"/>
      <c r="G922" s="38"/>
      <c r="H922" s="38"/>
      <c r="I922" s="38"/>
      <c r="J922" s="38"/>
      <c r="K922" s="38"/>
      <c r="M922" s="37"/>
      <c r="N922" s="37"/>
      <c r="O922" s="37"/>
      <c r="AD922" s="38"/>
      <c r="AE922" s="38"/>
      <c r="AF922" s="38"/>
      <c r="AG922" s="38"/>
      <c r="AH922" s="38"/>
      <c r="AJ922" s="39"/>
    </row>
    <row r="923" spans="4:36" s="36" customFormat="1" x14ac:dyDescent="0.25">
      <c r="D923" s="37"/>
      <c r="E923" s="38"/>
      <c r="F923" s="38"/>
      <c r="G923" s="38"/>
      <c r="H923" s="38"/>
      <c r="I923" s="38"/>
      <c r="J923" s="38"/>
      <c r="K923" s="38"/>
      <c r="M923" s="37"/>
      <c r="N923" s="37"/>
      <c r="O923" s="37"/>
      <c r="AD923" s="38"/>
      <c r="AE923" s="38"/>
      <c r="AF923" s="38"/>
      <c r="AG923" s="38"/>
      <c r="AH923" s="38"/>
      <c r="AJ923" s="39"/>
    </row>
    <row r="924" spans="4:36" s="36" customFormat="1" x14ac:dyDescent="0.25">
      <c r="D924" s="37"/>
      <c r="E924" s="38"/>
      <c r="F924" s="38"/>
      <c r="G924" s="38"/>
      <c r="H924" s="38"/>
      <c r="I924" s="38"/>
      <c r="J924" s="38"/>
      <c r="K924" s="38"/>
      <c r="M924" s="37"/>
      <c r="N924" s="37"/>
      <c r="O924" s="37"/>
      <c r="AD924" s="38"/>
      <c r="AE924" s="38"/>
      <c r="AF924" s="38"/>
      <c r="AG924" s="38"/>
      <c r="AH924" s="38"/>
      <c r="AJ924" s="39"/>
    </row>
    <row r="925" spans="4:36" s="36" customFormat="1" x14ac:dyDescent="0.25">
      <c r="D925" s="37"/>
      <c r="E925" s="38"/>
      <c r="F925" s="38"/>
      <c r="G925" s="38"/>
      <c r="H925" s="38"/>
      <c r="I925" s="38"/>
      <c r="J925" s="38"/>
      <c r="K925" s="38"/>
      <c r="M925" s="37"/>
      <c r="N925" s="37"/>
      <c r="O925" s="37"/>
      <c r="AD925" s="38"/>
      <c r="AE925" s="38"/>
      <c r="AF925" s="38"/>
      <c r="AG925" s="38"/>
      <c r="AH925" s="38"/>
      <c r="AJ925" s="39"/>
    </row>
    <row r="926" spans="4:36" s="36" customFormat="1" x14ac:dyDescent="0.25">
      <c r="D926" s="37"/>
      <c r="E926" s="38"/>
      <c r="F926" s="38"/>
      <c r="G926" s="38"/>
      <c r="H926" s="38"/>
      <c r="I926" s="38"/>
      <c r="J926" s="38"/>
      <c r="K926" s="38"/>
      <c r="M926" s="37"/>
      <c r="N926" s="37"/>
      <c r="O926" s="37"/>
      <c r="AD926" s="38"/>
      <c r="AE926" s="38"/>
      <c r="AF926" s="38"/>
      <c r="AG926" s="38"/>
      <c r="AH926" s="38"/>
      <c r="AJ926" s="39"/>
    </row>
    <row r="927" spans="4:36" s="36" customFormat="1" x14ac:dyDescent="0.25">
      <c r="D927" s="37"/>
      <c r="E927" s="38"/>
      <c r="F927" s="38"/>
      <c r="G927" s="38"/>
      <c r="H927" s="38"/>
      <c r="I927" s="38"/>
      <c r="J927" s="38"/>
      <c r="K927" s="38"/>
      <c r="M927" s="37"/>
      <c r="N927" s="37"/>
      <c r="O927" s="37"/>
      <c r="AD927" s="38"/>
      <c r="AE927" s="38"/>
      <c r="AF927" s="38"/>
      <c r="AG927" s="38"/>
      <c r="AH927" s="38"/>
      <c r="AJ927" s="39"/>
    </row>
    <row r="928" spans="4:36" s="36" customFormat="1" x14ac:dyDescent="0.25">
      <c r="D928" s="37"/>
      <c r="E928" s="38"/>
      <c r="F928" s="38"/>
      <c r="G928" s="38"/>
      <c r="H928" s="38"/>
      <c r="I928" s="38"/>
      <c r="J928" s="38"/>
      <c r="K928" s="38"/>
      <c r="M928" s="37"/>
      <c r="N928" s="37"/>
      <c r="O928" s="37"/>
      <c r="AD928" s="38"/>
      <c r="AE928" s="38"/>
      <c r="AF928" s="38"/>
      <c r="AG928" s="38"/>
      <c r="AH928" s="38"/>
      <c r="AJ928" s="39"/>
    </row>
    <row r="929" spans="4:36" s="36" customFormat="1" x14ac:dyDescent="0.25">
      <c r="D929" s="37"/>
      <c r="E929" s="38"/>
      <c r="F929" s="38"/>
      <c r="G929" s="38"/>
      <c r="H929" s="38"/>
      <c r="I929" s="38"/>
      <c r="J929" s="38"/>
      <c r="K929" s="38"/>
      <c r="M929" s="37"/>
      <c r="N929" s="37"/>
      <c r="O929" s="37"/>
      <c r="AD929" s="38"/>
      <c r="AE929" s="38"/>
      <c r="AF929" s="38"/>
      <c r="AG929" s="38"/>
      <c r="AH929" s="38"/>
      <c r="AJ929" s="39"/>
    </row>
    <row r="930" spans="4:36" s="36" customFormat="1" x14ac:dyDescent="0.25">
      <c r="D930" s="37"/>
      <c r="E930" s="38"/>
      <c r="F930" s="38"/>
      <c r="G930" s="38"/>
      <c r="H930" s="38"/>
      <c r="I930" s="38"/>
      <c r="J930" s="38"/>
      <c r="K930" s="38"/>
      <c r="M930" s="37"/>
      <c r="N930" s="37"/>
      <c r="O930" s="37"/>
      <c r="AD930" s="38"/>
      <c r="AE930" s="38"/>
      <c r="AF930" s="38"/>
      <c r="AG930" s="38"/>
      <c r="AH930" s="38"/>
      <c r="AJ930" s="39"/>
    </row>
    <row r="931" spans="4:36" s="36" customFormat="1" x14ac:dyDescent="0.25">
      <c r="D931" s="37"/>
      <c r="E931" s="38"/>
      <c r="F931" s="38"/>
      <c r="G931" s="38"/>
      <c r="H931" s="38"/>
      <c r="I931" s="38"/>
      <c r="J931" s="38"/>
      <c r="K931" s="38"/>
      <c r="M931" s="37"/>
      <c r="N931" s="37"/>
      <c r="O931" s="37"/>
      <c r="AD931" s="38"/>
      <c r="AE931" s="38"/>
      <c r="AF931" s="38"/>
      <c r="AG931" s="38"/>
      <c r="AH931" s="38"/>
      <c r="AJ931" s="39"/>
    </row>
    <row r="932" spans="4:36" s="36" customFormat="1" x14ac:dyDescent="0.25">
      <c r="D932" s="37"/>
      <c r="E932" s="38"/>
      <c r="F932" s="38"/>
      <c r="G932" s="38"/>
      <c r="H932" s="38"/>
      <c r="I932" s="38"/>
      <c r="J932" s="38"/>
      <c r="K932" s="38"/>
      <c r="M932" s="37"/>
      <c r="N932" s="37"/>
      <c r="O932" s="37"/>
      <c r="AD932" s="38"/>
      <c r="AE932" s="38"/>
      <c r="AF932" s="38"/>
      <c r="AG932" s="38"/>
      <c r="AH932" s="38"/>
      <c r="AJ932" s="39"/>
    </row>
    <row r="933" spans="4:36" s="36" customFormat="1" x14ac:dyDescent="0.25">
      <c r="D933" s="37"/>
      <c r="E933" s="38"/>
      <c r="F933" s="38"/>
      <c r="G933" s="38"/>
      <c r="H933" s="38"/>
      <c r="I933" s="38"/>
      <c r="J933" s="38"/>
      <c r="K933" s="38"/>
      <c r="M933" s="37"/>
      <c r="N933" s="37"/>
      <c r="O933" s="37"/>
      <c r="AD933" s="38"/>
      <c r="AE933" s="38"/>
      <c r="AF933" s="38"/>
      <c r="AG933" s="38"/>
      <c r="AH933" s="38"/>
      <c r="AJ933" s="39"/>
    </row>
    <row r="934" spans="4:36" s="36" customFormat="1" x14ac:dyDescent="0.25">
      <c r="D934" s="37"/>
      <c r="E934" s="38"/>
      <c r="F934" s="38"/>
      <c r="G934" s="38"/>
      <c r="H934" s="38"/>
      <c r="I934" s="38"/>
      <c r="J934" s="38"/>
      <c r="K934" s="38"/>
      <c r="M934" s="37"/>
      <c r="N934" s="37"/>
      <c r="O934" s="37"/>
      <c r="AD934" s="38"/>
      <c r="AE934" s="38"/>
      <c r="AF934" s="38"/>
      <c r="AG934" s="38"/>
      <c r="AH934" s="38"/>
      <c r="AJ934" s="39"/>
    </row>
    <row r="935" spans="4:36" s="36" customFormat="1" x14ac:dyDescent="0.25">
      <c r="D935" s="37"/>
      <c r="E935" s="38"/>
      <c r="F935" s="38"/>
      <c r="G935" s="38"/>
      <c r="H935" s="38"/>
      <c r="I935" s="38"/>
      <c r="J935" s="38"/>
      <c r="K935" s="38"/>
      <c r="M935" s="37"/>
      <c r="N935" s="37"/>
      <c r="O935" s="37"/>
      <c r="AD935" s="38"/>
      <c r="AE935" s="38"/>
      <c r="AF935" s="38"/>
      <c r="AG935" s="38"/>
      <c r="AH935" s="38"/>
      <c r="AJ935" s="39"/>
    </row>
    <row r="936" spans="4:36" s="36" customFormat="1" x14ac:dyDescent="0.25">
      <c r="D936" s="37"/>
      <c r="E936" s="38"/>
      <c r="F936" s="38"/>
      <c r="G936" s="38"/>
      <c r="H936" s="38"/>
      <c r="I936" s="38"/>
      <c r="J936" s="38"/>
      <c r="K936" s="38"/>
      <c r="M936" s="37"/>
      <c r="N936" s="37"/>
      <c r="O936" s="37"/>
      <c r="AD936" s="38"/>
      <c r="AE936" s="38"/>
      <c r="AF936" s="38"/>
      <c r="AG936" s="38"/>
      <c r="AH936" s="38"/>
      <c r="AJ936" s="39"/>
    </row>
    <row r="937" spans="4:36" s="36" customFormat="1" x14ac:dyDescent="0.25">
      <c r="D937" s="37"/>
      <c r="E937" s="38"/>
      <c r="F937" s="38"/>
      <c r="G937" s="38"/>
      <c r="H937" s="38"/>
      <c r="I937" s="38"/>
      <c r="J937" s="38"/>
      <c r="K937" s="38"/>
      <c r="M937" s="37"/>
      <c r="N937" s="37"/>
      <c r="O937" s="37"/>
      <c r="AD937" s="38"/>
      <c r="AE937" s="38"/>
      <c r="AF937" s="38"/>
      <c r="AG937" s="38"/>
      <c r="AH937" s="38"/>
      <c r="AJ937" s="39"/>
    </row>
    <row r="938" spans="4:36" s="36" customFormat="1" x14ac:dyDescent="0.25">
      <c r="D938" s="37"/>
      <c r="E938" s="38"/>
      <c r="F938" s="38"/>
      <c r="G938" s="38"/>
      <c r="H938" s="38"/>
      <c r="I938" s="38"/>
      <c r="J938" s="38"/>
      <c r="K938" s="38"/>
      <c r="M938" s="37"/>
      <c r="N938" s="37"/>
      <c r="O938" s="37"/>
      <c r="AD938" s="38"/>
      <c r="AE938" s="38"/>
      <c r="AF938" s="38"/>
      <c r="AG938" s="38"/>
      <c r="AH938" s="38"/>
      <c r="AJ938" s="39"/>
    </row>
    <row r="939" spans="4:36" s="36" customFormat="1" x14ac:dyDescent="0.25">
      <c r="D939" s="37"/>
      <c r="E939" s="38"/>
      <c r="F939" s="38"/>
      <c r="G939" s="38"/>
      <c r="H939" s="38"/>
      <c r="I939" s="38"/>
      <c r="J939" s="38"/>
      <c r="K939" s="38"/>
      <c r="M939" s="37"/>
      <c r="N939" s="37"/>
      <c r="O939" s="37"/>
      <c r="AD939" s="38"/>
      <c r="AE939" s="38"/>
      <c r="AF939" s="38"/>
      <c r="AG939" s="38"/>
      <c r="AH939" s="38"/>
      <c r="AJ939" s="39"/>
    </row>
    <row r="940" spans="4:36" s="36" customFormat="1" x14ac:dyDescent="0.25">
      <c r="D940" s="37"/>
      <c r="E940" s="38"/>
      <c r="F940" s="38"/>
      <c r="G940" s="38"/>
      <c r="H940" s="38"/>
      <c r="I940" s="38"/>
      <c r="J940" s="38"/>
      <c r="K940" s="38"/>
      <c r="M940" s="37"/>
      <c r="N940" s="37"/>
      <c r="O940" s="37"/>
      <c r="AD940" s="38"/>
      <c r="AE940" s="38"/>
      <c r="AF940" s="38"/>
      <c r="AG940" s="38"/>
      <c r="AH940" s="38"/>
      <c r="AJ940" s="39"/>
    </row>
    <row r="941" spans="4:36" s="36" customFormat="1" x14ac:dyDescent="0.25">
      <c r="D941" s="37"/>
      <c r="E941" s="38"/>
      <c r="F941" s="38"/>
      <c r="G941" s="38"/>
      <c r="H941" s="38"/>
      <c r="I941" s="38"/>
      <c r="J941" s="38"/>
      <c r="K941" s="38"/>
      <c r="M941" s="37"/>
      <c r="N941" s="37"/>
      <c r="O941" s="37"/>
      <c r="AD941" s="38"/>
      <c r="AE941" s="38"/>
      <c r="AF941" s="38"/>
      <c r="AG941" s="38"/>
      <c r="AH941" s="38"/>
      <c r="AJ941" s="39"/>
    </row>
    <row r="942" spans="4:36" s="36" customFormat="1" x14ac:dyDescent="0.25">
      <c r="D942" s="37"/>
      <c r="E942" s="38"/>
      <c r="F942" s="38"/>
      <c r="G942" s="38"/>
      <c r="H942" s="38"/>
      <c r="I942" s="38"/>
      <c r="J942" s="38"/>
      <c r="K942" s="38"/>
      <c r="M942" s="37"/>
      <c r="N942" s="37"/>
      <c r="O942" s="37"/>
      <c r="AD942" s="38"/>
      <c r="AE942" s="38"/>
      <c r="AF942" s="38"/>
      <c r="AG942" s="38"/>
      <c r="AH942" s="38"/>
      <c r="AJ942" s="39"/>
    </row>
    <row r="943" spans="4:36" s="36" customFormat="1" x14ac:dyDescent="0.25">
      <c r="D943" s="37"/>
      <c r="E943" s="38"/>
      <c r="F943" s="38"/>
      <c r="G943" s="38"/>
      <c r="H943" s="38"/>
      <c r="I943" s="38"/>
      <c r="J943" s="38"/>
      <c r="K943" s="38"/>
      <c r="M943" s="37"/>
      <c r="N943" s="37"/>
      <c r="O943" s="37"/>
      <c r="AD943" s="38"/>
      <c r="AE943" s="38"/>
      <c r="AF943" s="38"/>
      <c r="AG943" s="38"/>
      <c r="AH943" s="38"/>
      <c r="AJ943" s="39"/>
    </row>
    <row r="944" spans="4:36" s="36" customFormat="1" x14ac:dyDescent="0.25">
      <c r="D944" s="37"/>
      <c r="E944" s="38"/>
      <c r="F944" s="38"/>
      <c r="G944" s="38"/>
      <c r="H944" s="38"/>
      <c r="I944" s="38"/>
      <c r="J944" s="38"/>
      <c r="K944" s="38"/>
      <c r="M944" s="37"/>
      <c r="N944" s="37"/>
      <c r="O944" s="37"/>
      <c r="AD944" s="38"/>
      <c r="AE944" s="38"/>
      <c r="AF944" s="38"/>
      <c r="AG944" s="38"/>
      <c r="AH944" s="38"/>
      <c r="AJ944" s="39"/>
    </row>
    <row r="945" spans="4:36" s="36" customFormat="1" x14ac:dyDescent="0.25">
      <c r="D945" s="37"/>
      <c r="E945" s="38"/>
      <c r="F945" s="38"/>
      <c r="G945" s="38"/>
      <c r="H945" s="38"/>
      <c r="I945" s="38"/>
      <c r="J945" s="38"/>
      <c r="K945" s="38"/>
      <c r="M945" s="37"/>
      <c r="N945" s="37"/>
      <c r="O945" s="37"/>
      <c r="AD945" s="38"/>
      <c r="AE945" s="38"/>
      <c r="AF945" s="38"/>
      <c r="AG945" s="38"/>
      <c r="AH945" s="38"/>
      <c r="AJ945" s="39"/>
    </row>
    <row r="946" spans="4:36" s="36" customFormat="1" x14ac:dyDescent="0.25">
      <c r="D946" s="37"/>
      <c r="E946" s="38"/>
      <c r="F946" s="38"/>
      <c r="G946" s="38"/>
      <c r="H946" s="38"/>
      <c r="I946" s="38"/>
      <c r="J946" s="38"/>
      <c r="K946" s="38"/>
      <c r="M946" s="37"/>
      <c r="N946" s="37"/>
      <c r="O946" s="37"/>
      <c r="AD946" s="38"/>
      <c r="AE946" s="38"/>
      <c r="AF946" s="38"/>
      <c r="AG946" s="38"/>
      <c r="AH946" s="38"/>
      <c r="AJ946" s="39"/>
    </row>
    <row r="947" spans="4:36" s="36" customFormat="1" x14ac:dyDescent="0.25">
      <c r="D947" s="37"/>
      <c r="E947" s="38"/>
      <c r="F947" s="38"/>
      <c r="G947" s="38"/>
      <c r="H947" s="38"/>
      <c r="I947" s="38"/>
      <c r="J947" s="38"/>
      <c r="K947" s="38"/>
      <c r="M947" s="37"/>
      <c r="N947" s="37"/>
      <c r="O947" s="37"/>
      <c r="AD947" s="38"/>
      <c r="AE947" s="38"/>
      <c r="AF947" s="38"/>
      <c r="AG947" s="38"/>
      <c r="AH947" s="38"/>
      <c r="AJ947" s="39"/>
    </row>
    <row r="948" spans="4:36" s="36" customFormat="1" x14ac:dyDescent="0.25">
      <c r="D948" s="37"/>
      <c r="E948" s="38"/>
      <c r="F948" s="38"/>
      <c r="G948" s="38"/>
      <c r="H948" s="38"/>
      <c r="I948" s="38"/>
      <c r="J948" s="38"/>
      <c r="K948" s="38"/>
      <c r="M948" s="37"/>
      <c r="N948" s="37"/>
      <c r="O948" s="37"/>
      <c r="AD948" s="38"/>
      <c r="AE948" s="38"/>
      <c r="AF948" s="38"/>
      <c r="AG948" s="38"/>
      <c r="AH948" s="38"/>
      <c r="AJ948" s="39"/>
    </row>
    <row r="949" spans="4:36" s="36" customFormat="1" x14ac:dyDescent="0.25">
      <c r="D949" s="37"/>
      <c r="E949" s="38"/>
      <c r="F949" s="38"/>
      <c r="G949" s="38"/>
      <c r="H949" s="38"/>
      <c r="I949" s="38"/>
      <c r="J949" s="38"/>
      <c r="K949" s="38"/>
      <c r="M949" s="37"/>
      <c r="N949" s="37"/>
      <c r="O949" s="37"/>
      <c r="AD949" s="38"/>
      <c r="AE949" s="38"/>
      <c r="AF949" s="38"/>
      <c r="AG949" s="38"/>
      <c r="AH949" s="38"/>
      <c r="AJ949" s="39"/>
    </row>
    <row r="950" spans="4:36" s="36" customFormat="1" x14ac:dyDescent="0.25">
      <c r="D950" s="37"/>
      <c r="E950" s="38"/>
      <c r="F950" s="38"/>
      <c r="G950" s="38"/>
      <c r="H950" s="38"/>
      <c r="I950" s="38"/>
      <c r="J950" s="38"/>
      <c r="K950" s="38"/>
      <c r="M950" s="37"/>
      <c r="N950" s="37"/>
      <c r="O950" s="37"/>
      <c r="AD950" s="38"/>
      <c r="AE950" s="38"/>
      <c r="AF950" s="38"/>
      <c r="AG950" s="38"/>
      <c r="AH950" s="38"/>
      <c r="AJ950" s="39"/>
    </row>
    <row r="951" spans="4:36" s="36" customFormat="1" x14ac:dyDescent="0.25">
      <c r="D951" s="37"/>
      <c r="E951" s="38"/>
      <c r="F951" s="38"/>
      <c r="G951" s="38"/>
      <c r="H951" s="38"/>
      <c r="I951" s="38"/>
      <c r="J951" s="38"/>
      <c r="K951" s="38"/>
      <c r="M951" s="37"/>
      <c r="N951" s="37"/>
      <c r="O951" s="37"/>
      <c r="AD951" s="38"/>
      <c r="AE951" s="38"/>
      <c r="AF951" s="38"/>
      <c r="AG951" s="38"/>
      <c r="AH951" s="38"/>
      <c r="AJ951" s="39"/>
    </row>
    <row r="952" spans="4:36" s="36" customFormat="1" x14ac:dyDescent="0.25">
      <c r="D952" s="37"/>
      <c r="E952" s="38"/>
      <c r="F952" s="38"/>
      <c r="G952" s="38"/>
      <c r="H952" s="38"/>
      <c r="I952" s="38"/>
      <c r="J952" s="38"/>
      <c r="K952" s="38"/>
      <c r="M952" s="37"/>
      <c r="N952" s="37"/>
      <c r="O952" s="37"/>
      <c r="AD952" s="38"/>
      <c r="AE952" s="38"/>
      <c r="AF952" s="38"/>
      <c r="AG952" s="38"/>
      <c r="AH952" s="38"/>
      <c r="AJ952" s="39"/>
    </row>
    <row r="953" spans="4:36" s="36" customFormat="1" x14ac:dyDescent="0.25">
      <c r="D953" s="37"/>
      <c r="E953" s="38"/>
      <c r="F953" s="38"/>
      <c r="G953" s="38"/>
      <c r="H953" s="38"/>
      <c r="I953" s="38"/>
      <c r="J953" s="38"/>
      <c r="K953" s="38"/>
      <c r="M953" s="37"/>
      <c r="N953" s="37"/>
      <c r="O953" s="37"/>
      <c r="AD953" s="38"/>
      <c r="AE953" s="38"/>
      <c r="AF953" s="38"/>
      <c r="AG953" s="38"/>
      <c r="AH953" s="38"/>
      <c r="AJ953" s="39"/>
    </row>
    <row r="954" spans="4:36" s="36" customFormat="1" x14ac:dyDescent="0.25">
      <c r="D954" s="37"/>
      <c r="E954" s="38"/>
      <c r="F954" s="38"/>
      <c r="G954" s="38"/>
      <c r="H954" s="38"/>
      <c r="I954" s="38"/>
      <c r="J954" s="38"/>
      <c r="K954" s="38"/>
      <c r="M954" s="37"/>
      <c r="N954" s="37"/>
      <c r="O954" s="37"/>
      <c r="AD954" s="38"/>
      <c r="AE954" s="38"/>
      <c r="AF954" s="38"/>
      <c r="AG954" s="38"/>
      <c r="AH954" s="38"/>
      <c r="AJ954" s="39"/>
    </row>
    <row r="955" spans="4:36" s="36" customFormat="1" x14ac:dyDescent="0.25">
      <c r="D955" s="37"/>
      <c r="E955" s="38"/>
      <c r="F955" s="38"/>
      <c r="G955" s="38"/>
      <c r="H955" s="38"/>
      <c r="I955" s="38"/>
      <c r="J955" s="38"/>
      <c r="K955" s="38"/>
      <c r="M955" s="37"/>
      <c r="N955" s="37"/>
      <c r="O955" s="37"/>
      <c r="AD955" s="38"/>
      <c r="AE955" s="38"/>
      <c r="AF955" s="38"/>
      <c r="AG955" s="38"/>
      <c r="AH955" s="38"/>
      <c r="AJ955" s="39"/>
    </row>
    <row r="956" spans="4:36" s="36" customFormat="1" x14ac:dyDescent="0.25">
      <c r="D956" s="37"/>
      <c r="E956" s="38"/>
      <c r="F956" s="38"/>
      <c r="G956" s="38"/>
      <c r="H956" s="38"/>
      <c r="I956" s="38"/>
      <c r="J956" s="38"/>
      <c r="K956" s="38"/>
      <c r="M956" s="37"/>
      <c r="N956" s="37"/>
      <c r="O956" s="37"/>
      <c r="AD956" s="38"/>
      <c r="AE956" s="38"/>
      <c r="AF956" s="38"/>
      <c r="AG956" s="38"/>
      <c r="AH956" s="38"/>
      <c r="AJ956" s="39"/>
    </row>
    <row r="957" spans="4:36" s="36" customFormat="1" x14ac:dyDescent="0.25">
      <c r="D957" s="37"/>
      <c r="E957" s="38"/>
      <c r="F957" s="38"/>
      <c r="G957" s="38"/>
      <c r="H957" s="38"/>
      <c r="I957" s="38"/>
      <c r="J957" s="38"/>
      <c r="K957" s="38"/>
      <c r="M957" s="37"/>
      <c r="N957" s="37"/>
      <c r="O957" s="37"/>
      <c r="AD957" s="38"/>
      <c r="AE957" s="38"/>
      <c r="AF957" s="38"/>
      <c r="AG957" s="38"/>
      <c r="AH957" s="38"/>
      <c r="AJ957" s="39"/>
    </row>
    <row r="958" spans="4:36" s="36" customFormat="1" x14ac:dyDescent="0.25">
      <c r="D958" s="37"/>
      <c r="E958" s="38"/>
      <c r="F958" s="38"/>
      <c r="G958" s="38"/>
      <c r="H958" s="38"/>
      <c r="I958" s="38"/>
      <c r="J958" s="38"/>
      <c r="K958" s="38"/>
      <c r="M958" s="37"/>
      <c r="N958" s="37"/>
      <c r="O958" s="37"/>
      <c r="AD958" s="38"/>
      <c r="AE958" s="38"/>
      <c r="AF958" s="38"/>
      <c r="AG958" s="38"/>
      <c r="AH958" s="38"/>
      <c r="AJ958" s="39"/>
    </row>
    <row r="959" spans="4:36" s="36" customFormat="1" x14ac:dyDescent="0.25">
      <c r="D959" s="37"/>
      <c r="E959" s="38"/>
      <c r="F959" s="38"/>
      <c r="G959" s="38"/>
      <c r="H959" s="38"/>
      <c r="I959" s="38"/>
      <c r="J959" s="38"/>
      <c r="K959" s="38"/>
      <c r="M959" s="37"/>
      <c r="N959" s="37"/>
      <c r="O959" s="37"/>
      <c r="AD959" s="38"/>
      <c r="AE959" s="38"/>
      <c r="AF959" s="38"/>
      <c r="AG959" s="38"/>
      <c r="AH959" s="38"/>
      <c r="AJ959" s="39"/>
    </row>
    <row r="960" spans="4:36" s="36" customFormat="1" x14ac:dyDescent="0.25">
      <c r="D960" s="37"/>
      <c r="E960" s="38"/>
      <c r="F960" s="38"/>
      <c r="G960" s="38"/>
      <c r="H960" s="38"/>
      <c r="I960" s="38"/>
      <c r="J960" s="38"/>
      <c r="K960" s="38"/>
      <c r="M960" s="37"/>
      <c r="N960" s="37"/>
      <c r="O960" s="37"/>
      <c r="AD960" s="38"/>
      <c r="AE960" s="38"/>
      <c r="AF960" s="38"/>
      <c r="AG960" s="38"/>
      <c r="AH960" s="38"/>
      <c r="AJ960" s="39"/>
    </row>
    <row r="961" spans="4:36" s="36" customFormat="1" x14ac:dyDescent="0.25">
      <c r="D961" s="37"/>
      <c r="E961" s="38"/>
      <c r="F961" s="38"/>
      <c r="G961" s="38"/>
      <c r="H961" s="38"/>
      <c r="I961" s="38"/>
      <c r="J961" s="38"/>
      <c r="K961" s="38"/>
      <c r="M961" s="37"/>
      <c r="N961" s="37"/>
      <c r="O961" s="37"/>
      <c r="AD961" s="38"/>
      <c r="AE961" s="38"/>
      <c r="AF961" s="38"/>
      <c r="AG961" s="38"/>
      <c r="AH961" s="38"/>
      <c r="AJ961" s="39"/>
    </row>
    <row r="962" spans="4:36" s="36" customFormat="1" x14ac:dyDescent="0.25">
      <c r="D962" s="37"/>
      <c r="E962" s="38"/>
      <c r="F962" s="38"/>
      <c r="G962" s="38"/>
      <c r="H962" s="38"/>
      <c r="I962" s="38"/>
      <c r="J962" s="38"/>
      <c r="K962" s="38"/>
      <c r="M962" s="37"/>
      <c r="N962" s="37"/>
      <c r="O962" s="37"/>
      <c r="AD962" s="38"/>
      <c r="AE962" s="38"/>
      <c r="AF962" s="38"/>
      <c r="AG962" s="38"/>
      <c r="AH962" s="38"/>
      <c r="AJ962" s="39"/>
    </row>
    <row r="963" spans="4:36" s="36" customFormat="1" x14ac:dyDescent="0.25">
      <c r="D963" s="37"/>
      <c r="E963" s="38"/>
      <c r="F963" s="38"/>
      <c r="G963" s="38"/>
      <c r="H963" s="38"/>
      <c r="I963" s="38"/>
      <c r="J963" s="38"/>
      <c r="K963" s="38"/>
      <c r="M963" s="37"/>
      <c r="N963" s="37"/>
      <c r="O963" s="37"/>
      <c r="AD963" s="38"/>
      <c r="AE963" s="38"/>
      <c r="AF963" s="38"/>
      <c r="AG963" s="38"/>
      <c r="AH963" s="38"/>
      <c r="AJ963" s="39"/>
    </row>
    <row r="964" spans="4:36" s="36" customFormat="1" x14ac:dyDescent="0.25">
      <c r="D964" s="37"/>
      <c r="E964" s="38"/>
      <c r="F964" s="38"/>
      <c r="G964" s="38"/>
      <c r="H964" s="38"/>
      <c r="I964" s="38"/>
      <c r="J964" s="38"/>
      <c r="K964" s="38"/>
      <c r="M964" s="37"/>
      <c r="N964" s="37"/>
      <c r="O964" s="37"/>
      <c r="AD964" s="38"/>
      <c r="AE964" s="38"/>
      <c r="AF964" s="38"/>
      <c r="AG964" s="38"/>
      <c r="AH964" s="38"/>
      <c r="AJ964" s="39"/>
    </row>
    <row r="965" spans="4:36" s="36" customFormat="1" x14ac:dyDescent="0.25">
      <c r="D965" s="37"/>
      <c r="E965" s="38"/>
      <c r="F965" s="38"/>
      <c r="G965" s="38"/>
      <c r="H965" s="38"/>
      <c r="I965" s="38"/>
      <c r="J965" s="38"/>
      <c r="K965" s="38"/>
      <c r="M965" s="37"/>
      <c r="N965" s="37"/>
      <c r="O965" s="37"/>
      <c r="AD965" s="38"/>
      <c r="AE965" s="38"/>
      <c r="AF965" s="38"/>
      <c r="AG965" s="38"/>
      <c r="AH965" s="38"/>
      <c r="AJ965" s="39"/>
    </row>
    <row r="966" spans="4:36" s="36" customFormat="1" x14ac:dyDescent="0.25">
      <c r="D966" s="37"/>
      <c r="E966" s="38"/>
      <c r="F966" s="38"/>
      <c r="G966" s="38"/>
      <c r="H966" s="38"/>
      <c r="I966" s="38"/>
      <c r="J966" s="38"/>
      <c r="K966" s="38"/>
      <c r="M966" s="37"/>
      <c r="N966" s="37"/>
      <c r="O966" s="37"/>
      <c r="AD966" s="38"/>
      <c r="AE966" s="38"/>
      <c r="AF966" s="38"/>
      <c r="AG966" s="38"/>
      <c r="AH966" s="38"/>
      <c r="AJ966" s="39"/>
    </row>
    <row r="967" spans="4:36" s="36" customFormat="1" x14ac:dyDescent="0.25">
      <c r="D967" s="37"/>
      <c r="E967" s="38"/>
      <c r="F967" s="38"/>
      <c r="G967" s="38"/>
      <c r="H967" s="38"/>
      <c r="I967" s="38"/>
      <c r="J967" s="38"/>
      <c r="K967" s="38"/>
      <c r="M967" s="37"/>
      <c r="N967" s="37"/>
      <c r="O967" s="37"/>
      <c r="AD967" s="38"/>
      <c r="AE967" s="38"/>
      <c r="AF967" s="38"/>
      <c r="AG967" s="38"/>
      <c r="AH967" s="38"/>
      <c r="AJ967" s="39"/>
    </row>
    <row r="968" spans="4:36" s="36" customFormat="1" x14ac:dyDescent="0.25">
      <c r="D968" s="37"/>
      <c r="E968" s="38"/>
      <c r="F968" s="38"/>
      <c r="G968" s="38"/>
      <c r="H968" s="38"/>
      <c r="I968" s="38"/>
      <c r="J968" s="38"/>
      <c r="K968" s="38"/>
      <c r="M968" s="37"/>
      <c r="N968" s="37"/>
      <c r="O968" s="37"/>
      <c r="AD968" s="38"/>
      <c r="AE968" s="38"/>
      <c r="AF968" s="38"/>
      <c r="AG968" s="38"/>
      <c r="AH968" s="38"/>
      <c r="AJ968" s="39"/>
    </row>
    <row r="969" spans="4:36" s="36" customFormat="1" x14ac:dyDescent="0.25">
      <c r="D969" s="37"/>
      <c r="E969" s="38"/>
      <c r="F969" s="38"/>
      <c r="G969" s="38"/>
      <c r="H969" s="38"/>
      <c r="I969" s="38"/>
      <c r="J969" s="38"/>
      <c r="K969" s="38"/>
      <c r="M969" s="37"/>
      <c r="N969" s="37"/>
      <c r="O969" s="37"/>
      <c r="AD969" s="38"/>
      <c r="AE969" s="38"/>
      <c r="AF969" s="38"/>
      <c r="AG969" s="38"/>
      <c r="AH969" s="38"/>
      <c r="AJ969" s="39"/>
    </row>
    <row r="970" spans="4:36" s="36" customFormat="1" x14ac:dyDescent="0.25">
      <c r="D970" s="37"/>
      <c r="E970" s="38"/>
      <c r="F970" s="38"/>
      <c r="G970" s="38"/>
      <c r="H970" s="38"/>
      <c r="I970" s="38"/>
      <c r="J970" s="38"/>
      <c r="K970" s="38"/>
      <c r="M970" s="37"/>
      <c r="N970" s="37"/>
      <c r="O970" s="37"/>
      <c r="AD970" s="38"/>
      <c r="AE970" s="38"/>
      <c r="AF970" s="38"/>
      <c r="AG970" s="38"/>
      <c r="AH970" s="38"/>
      <c r="AJ970" s="39"/>
    </row>
    <row r="971" spans="4:36" s="36" customFormat="1" x14ac:dyDescent="0.25">
      <c r="D971" s="37"/>
      <c r="E971" s="38"/>
      <c r="F971" s="38"/>
      <c r="G971" s="38"/>
      <c r="H971" s="38"/>
      <c r="I971" s="38"/>
      <c r="J971" s="38"/>
      <c r="K971" s="38"/>
      <c r="M971" s="37"/>
      <c r="N971" s="37"/>
      <c r="O971" s="37"/>
      <c r="AD971" s="38"/>
      <c r="AE971" s="38"/>
      <c r="AF971" s="38"/>
      <c r="AG971" s="38"/>
      <c r="AH971" s="38"/>
      <c r="AJ971" s="39"/>
    </row>
    <row r="972" spans="4:36" s="36" customFormat="1" x14ac:dyDescent="0.25">
      <c r="D972" s="37"/>
      <c r="E972" s="38"/>
      <c r="F972" s="38"/>
      <c r="G972" s="38"/>
      <c r="H972" s="38"/>
      <c r="I972" s="38"/>
      <c r="J972" s="38"/>
      <c r="K972" s="38"/>
      <c r="M972" s="37"/>
      <c r="N972" s="37"/>
      <c r="O972" s="37"/>
      <c r="AD972" s="38"/>
      <c r="AE972" s="38"/>
      <c r="AF972" s="38"/>
      <c r="AG972" s="38"/>
      <c r="AH972" s="38"/>
      <c r="AJ972" s="39"/>
    </row>
    <row r="973" spans="4:36" s="36" customFormat="1" x14ac:dyDescent="0.25">
      <c r="D973" s="37"/>
      <c r="E973" s="38"/>
      <c r="F973" s="38"/>
      <c r="G973" s="38"/>
      <c r="H973" s="38"/>
      <c r="I973" s="38"/>
      <c r="J973" s="38"/>
      <c r="K973" s="38"/>
      <c r="M973" s="37"/>
      <c r="N973" s="37"/>
      <c r="O973" s="37"/>
      <c r="AD973" s="38"/>
      <c r="AE973" s="38"/>
      <c r="AF973" s="38"/>
      <c r="AG973" s="38"/>
      <c r="AH973" s="38"/>
      <c r="AJ973" s="39"/>
    </row>
    <row r="974" spans="4:36" s="36" customFormat="1" x14ac:dyDescent="0.25">
      <c r="D974" s="37"/>
      <c r="E974" s="38"/>
      <c r="F974" s="38"/>
      <c r="G974" s="38"/>
      <c r="H974" s="38"/>
      <c r="I974" s="38"/>
      <c r="J974" s="38"/>
      <c r="K974" s="38"/>
      <c r="M974" s="37"/>
      <c r="N974" s="37"/>
      <c r="O974" s="37"/>
      <c r="AD974" s="38"/>
      <c r="AE974" s="38"/>
      <c r="AF974" s="38"/>
      <c r="AG974" s="38"/>
      <c r="AH974" s="38"/>
      <c r="AJ974" s="39"/>
    </row>
    <row r="975" spans="4:36" s="36" customFormat="1" x14ac:dyDescent="0.25">
      <c r="D975" s="37"/>
      <c r="E975" s="38"/>
      <c r="F975" s="38"/>
      <c r="G975" s="38"/>
      <c r="H975" s="38"/>
      <c r="I975" s="38"/>
      <c r="J975" s="38"/>
      <c r="K975" s="38"/>
      <c r="M975" s="37"/>
      <c r="N975" s="37"/>
      <c r="O975" s="37"/>
      <c r="AD975" s="38"/>
      <c r="AE975" s="38"/>
      <c r="AF975" s="38"/>
      <c r="AG975" s="38"/>
      <c r="AH975" s="38"/>
      <c r="AJ975" s="39"/>
    </row>
    <row r="976" spans="4:36" s="36" customFormat="1" x14ac:dyDescent="0.25">
      <c r="D976" s="37"/>
      <c r="E976" s="38"/>
      <c r="F976" s="38"/>
      <c r="G976" s="38"/>
      <c r="H976" s="38"/>
      <c r="I976" s="38"/>
      <c r="J976" s="38"/>
      <c r="K976" s="38"/>
      <c r="M976" s="37"/>
      <c r="N976" s="37"/>
      <c r="O976" s="37"/>
      <c r="AD976" s="38"/>
      <c r="AE976" s="38"/>
      <c r="AF976" s="38"/>
      <c r="AG976" s="38"/>
      <c r="AH976" s="38"/>
      <c r="AJ976" s="39"/>
    </row>
    <row r="977" spans="4:36" s="36" customFormat="1" x14ac:dyDescent="0.25">
      <c r="D977" s="37"/>
      <c r="E977" s="38"/>
      <c r="F977" s="38"/>
      <c r="G977" s="38"/>
      <c r="H977" s="38"/>
      <c r="I977" s="38"/>
      <c r="J977" s="38"/>
      <c r="K977" s="38"/>
      <c r="M977" s="37"/>
      <c r="N977" s="37"/>
      <c r="O977" s="37"/>
      <c r="AD977" s="38"/>
      <c r="AE977" s="38"/>
      <c r="AF977" s="38"/>
      <c r="AG977" s="38"/>
      <c r="AH977" s="38"/>
      <c r="AJ977" s="39"/>
    </row>
    <row r="978" spans="4:36" s="36" customFormat="1" x14ac:dyDescent="0.25">
      <c r="D978" s="37"/>
      <c r="E978" s="38"/>
      <c r="F978" s="38"/>
      <c r="G978" s="38"/>
      <c r="H978" s="38"/>
      <c r="I978" s="38"/>
      <c r="J978" s="38"/>
      <c r="K978" s="38"/>
      <c r="M978" s="37"/>
      <c r="N978" s="37"/>
      <c r="O978" s="37"/>
      <c r="AD978" s="38"/>
      <c r="AE978" s="38"/>
      <c r="AF978" s="38"/>
      <c r="AG978" s="38"/>
      <c r="AH978" s="38"/>
      <c r="AJ978" s="39"/>
    </row>
    <row r="979" spans="4:36" s="36" customFormat="1" x14ac:dyDescent="0.25">
      <c r="D979" s="37"/>
      <c r="E979" s="38"/>
      <c r="F979" s="38"/>
      <c r="G979" s="38"/>
      <c r="H979" s="38"/>
      <c r="I979" s="38"/>
      <c r="J979" s="38"/>
      <c r="K979" s="38"/>
      <c r="M979" s="37"/>
      <c r="N979" s="37"/>
      <c r="O979" s="37"/>
      <c r="AD979" s="38"/>
      <c r="AE979" s="38"/>
      <c r="AF979" s="38"/>
      <c r="AG979" s="38"/>
      <c r="AH979" s="38"/>
      <c r="AJ979" s="39"/>
    </row>
    <row r="980" spans="4:36" s="36" customFormat="1" x14ac:dyDescent="0.25">
      <c r="D980" s="37"/>
      <c r="E980" s="38"/>
      <c r="F980" s="38"/>
      <c r="G980" s="38"/>
      <c r="H980" s="38"/>
      <c r="I980" s="38"/>
      <c r="J980" s="38"/>
      <c r="K980" s="38"/>
      <c r="M980" s="37"/>
      <c r="N980" s="37"/>
      <c r="O980" s="37"/>
      <c r="AD980" s="38"/>
      <c r="AE980" s="38"/>
      <c r="AF980" s="38"/>
      <c r="AG980" s="38"/>
      <c r="AH980" s="38"/>
      <c r="AJ980" s="39"/>
    </row>
    <row r="981" spans="4:36" s="36" customFormat="1" x14ac:dyDescent="0.25">
      <c r="D981" s="37"/>
      <c r="E981" s="38"/>
      <c r="F981" s="38"/>
      <c r="G981" s="38"/>
      <c r="H981" s="38"/>
      <c r="I981" s="38"/>
      <c r="J981" s="38"/>
      <c r="K981" s="38"/>
      <c r="M981" s="37"/>
      <c r="N981" s="37"/>
      <c r="O981" s="37"/>
      <c r="AD981" s="38"/>
      <c r="AE981" s="38"/>
      <c r="AF981" s="38"/>
      <c r="AG981" s="38"/>
      <c r="AH981" s="38"/>
      <c r="AJ981" s="39"/>
    </row>
    <row r="982" spans="4:36" s="36" customFormat="1" x14ac:dyDescent="0.25">
      <c r="D982" s="37"/>
      <c r="E982" s="38"/>
      <c r="F982" s="38"/>
      <c r="G982" s="38"/>
      <c r="H982" s="38"/>
      <c r="I982" s="38"/>
      <c r="J982" s="38"/>
      <c r="K982" s="38"/>
      <c r="M982" s="37"/>
      <c r="N982" s="37"/>
      <c r="O982" s="37"/>
      <c r="AD982" s="38"/>
      <c r="AE982" s="38"/>
      <c r="AF982" s="38"/>
      <c r="AG982" s="38"/>
      <c r="AH982" s="38"/>
      <c r="AJ982" s="39"/>
    </row>
    <row r="983" spans="4:36" s="36" customFormat="1" x14ac:dyDescent="0.25">
      <c r="D983" s="37"/>
      <c r="E983" s="38"/>
      <c r="F983" s="38"/>
      <c r="G983" s="38"/>
      <c r="H983" s="38"/>
      <c r="I983" s="38"/>
      <c r="J983" s="38"/>
      <c r="K983" s="38"/>
      <c r="M983" s="37"/>
      <c r="N983" s="37"/>
      <c r="O983" s="37"/>
      <c r="AD983" s="38"/>
      <c r="AE983" s="38"/>
      <c r="AF983" s="38"/>
      <c r="AG983" s="38"/>
      <c r="AH983" s="38"/>
      <c r="AJ983" s="39"/>
    </row>
    <row r="984" spans="4:36" s="36" customFormat="1" x14ac:dyDescent="0.25">
      <c r="D984" s="37"/>
      <c r="E984" s="38"/>
      <c r="F984" s="38"/>
      <c r="G984" s="38"/>
      <c r="H984" s="38"/>
      <c r="I984" s="38"/>
      <c r="J984" s="38"/>
      <c r="K984" s="38"/>
      <c r="M984" s="37"/>
      <c r="N984" s="37"/>
      <c r="O984" s="37"/>
      <c r="AD984" s="38"/>
      <c r="AE984" s="38"/>
      <c r="AF984" s="38"/>
      <c r="AG984" s="38"/>
      <c r="AH984" s="38"/>
      <c r="AJ984" s="39"/>
    </row>
    <row r="985" spans="4:36" s="36" customFormat="1" x14ac:dyDescent="0.25">
      <c r="D985" s="37"/>
      <c r="E985" s="38"/>
      <c r="F985" s="38"/>
      <c r="G985" s="38"/>
      <c r="H985" s="38"/>
      <c r="I985" s="38"/>
      <c r="J985" s="38"/>
      <c r="K985" s="38"/>
      <c r="M985" s="37"/>
      <c r="N985" s="37"/>
      <c r="O985" s="37"/>
      <c r="AD985" s="38"/>
      <c r="AE985" s="38"/>
      <c r="AF985" s="38"/>
      <c r="AG985" s="38"/>
      <c r="AH985" s="38"/>
      <c r="AJ985" s="39"/>
    </row>
    <row r="986" spans="4:36" s="36" customFormat="1" x14ac:dyDescent="0.25">
      <c r="D986" s="37"/>
      <c r="E986" s="38"/>
      <c r="F986" s="38"/>
      <c r="G986" s="38"/>
      <c r="H986" s="38"/>
      <c r="I986" s="38"/>
      <c r="J986" s="38"/>
      <c r="K986" s="38"/>
      <c r="M986" s="37"/>
      <c r="N986" s="37"/>
      <c r="O986" s="37"/>
      <c r="AD986" s="38"/>
      <c r="AE986" s="38"/>
      <c r="AF986" s="38"/>
      <c r="AG986" s="38"/>
      <c r="AH986" s="38"/>
      <c r="AJ986" s="39"/>
    </row>
    <row r="987" spans="4:36" s="36" customFormat="1" x14ac:dyDescent="0.25">
      <c r="D987" s="37"/>
      <c r="E987" s="38"/>
      <c r="F987" s="38"/>
      <c r="G987" s="38"/>
      <c r="H987" s="38"/>
      <c r="I987" s="38"/>
      <c r="J987" s="38"/>
      <c r="K987" s="38"/>
      <c r="M987" s="37"/>
      <c r="N987" s="37"/>
      <c r="O987" s="37"/>
      <c r="AD987" s="38"/>
      <c r="AE987" s="38"/>
      <c r="AF987" s="38"/>
      <c r="AG987" s="38"/>
      <c r="AH987" s="38"/>
      <c r="AJ987" s="39"/>
    </row>
    <row r="988" spans="4:36" s="36" customFormat="1" x14ac:dyDescent="0.25">
      <c r="D988" s="37"/>
      <c r="E988" s="38"/>
      <c r="F988" s="38"/>
      <c r="G988" s="38"/>
      <c r="H988" s="38"/>
      <c r="I988" s="38"/>
      <c r="J988" s="38"/>
      <c r="K988" s="38"/>
      <c r="M988" s="37"/>
      <c r="N988" s="37"/>
      <c r="O988" s="37"/>
      <c r="AD988" s="38"/>
      <c r="AE988" s="38"/>
      <c r="AF988" s="38"/>
      <c r="AG988" s="38"/>
      <c r="AH988" s="38"/>
      <c r="AJ988" s="39"/>
    </row>
    <row r="989" spans="4:36" s="36" customFormat="1" x14ac:dyDescent="0.25">
      <c r="D989" s="37"/>
      <c r="E989" s="38"/>
      <c r="F989" s="38"/>
      <c r="G989" s="38"/>
      <c r="H989" s="38"/>
      <c r="I989" s="38"/>
      <c r="J989" s="38"/>
      <c r="K989" s="38"/>
      <c r="M989" s="37"/>
      <c r="N989" s="37"/>
      <c r="O989" s="37"/>
      <c r="AD989" s="38"/>
      <c r="AE989" s="38"/>
      <c r="AF989" s="38"/>
      <c r="AG989" s="38"/>
      <c r="AH989" s="38"/>
      <c r="AJ989" s="39"/>
    </row>
    <row r="990" spans="4:36" s="36" customFormat="1" x14ac:dyDescent="0.25">
      <c r="D990" s="37"/>
      <c r="E990" s="38"/>
      <c r="F990" s="38"/>
      <c r="G990" s="38"/>
      <c r="H990" s="38"/>
      <c r="I990" s="38"/>
      <c r="J990" s="38"/>
      <c r="K990" s="38"/>
      <c r="M990" s="37"/>
      <c r="N990" s="37"/>
      <c r="O990" s="37"/>
      <c r="AD990" s="38"/>
      <c r="AE990" s="38"/>
      <c r="AF990" s="38"/>
      <c r="AG990" s="38"/>
      <c r="AH990" s="38"/>
      <c r="AJ990" s="39"/>
    </row>
    <row r="991" spans="4:36" s="36" customFormat="1" x14ac:dyDescent="0.25">
      <c r="D991" s="37"/>
      <c r="E991" s="38"/>
      <c r="F991" s="38"/>
      <c r="G991" s="38"/>
      <c r="H991" s="38"/>
      <c r="I991" s="38"/>
      <c r="J991" s="38"/>
      <c r="K991" s="38"/>
      <c r="M991" s="37"/>
      <c r="N991" s="37"/>
      <c r="O991" s="37"/>
      <c r="AD991" s="38"/>
      <c r="AE991" s="38"/>
      <c r="AF991" s="38"/>
      <c r="AG991" s="38"/>
      <c r="AH991" s="38"/>
      <c r="AJ991" s="39"/>
    </row>
    <row r="992" spans="4:36" s="36" customFormat="1" x14ac:dyDescent="0.25">
      <c r="D992" s="37"/>
      <c r="E992" s="38"/>
      <c r="F992" s="38"/>
      <c r="G992" s="38"/>
      <c r="H992" s="38"/>
      <c r="I992" s="38"/>
      <c r="J992" s="38"/>
      <c r="K992" s="38"/>
      <c r="M992" s="37"/>
      <c r="N992" s="37"/>
      <c r="O992" s="37"/>
      <c r="AD992" s="38"/>
      <c r="AE992" s="38"/>
      <c r="AF992" s="38"/>
      <c r="AG992" s="38"/>
      <c r="AH992" s="38"/>
      <c r="AJ992" s="39"/>
    </row>
    <row r="993" spans="4:36" s="36" customFormat="1" x14ac:dyDescent="0.25">
      <c r="D993" s="37"/>
      <c r="E993" s="38"/>
      <c r="F993" s="38"/>
      <c r="G993" s="38"/>
      <c r="H993" s="38"/>
      <c r="I993" s="38"/>
      <c r="J993" s="38"/>
      <c r="K993" s="38"/>
      <c r="M993" s="37"/>
      <c r="N993" s="37"/>
      <c r="O993" s="37"/>
      <c r="AD993" s="38"/>
      <c r="AE993" s="38"/>
      <c r="AF993" s="38"/>
      <c r="AG993" s="38"/>
      <c r="AH993" s="38"/>
      <c r="AJ993" s="39"/>
    </row>
    <row r="994" spans="4:36" s="36" customFormat="1" x14ac:dyDescent="0.25">
      <c r="D994" s="37"/>
      <c r="E994" s="38"/>
      <c r="F994" s="38"/>
      <c r="G994" s="38"/>
      <c r="H994" s="38"/>
      <c r="I994" s="38"/>
      <c r="J994" s="38"/>
      <c r="K994" s="38"/>
      <c r="M994" s="37"/>
      <c r="N994" s="37"/>
      <c r="O994" s="37"/>
      <c r="AD994" s="38"/>
      <c r="AE994" s="38"/>
      <c r="AF994" s="38"/>
      <c r="AG994" s="38"/>
      <c r="AH994" s="38"/>
      <c r="AJ994" s="39"/>
    </row>
    <row r="995" spans="4:36" s="36" customFormat="1" x14ac:dyDescent="0.25">
      <c r="D995" s="37"/>
      <c r="E995" s="38"/>
      <c r="F995" s="38"/>
      <c r="G995" s="38"/>
      <c r="H995" s="38"/>
      <c r="I995" s="38"/>
      <c r="J995" s="38"/>
      <c r="K995" s="38"/>
      <c r="M995" s="37"/>
      <c r="N995" s="37"/>
      <c r="O995" s="37"/>
      <c r="AD995" s="38"/>
      <c r="AE995" s="38"/>
      <c r="AF995" s="38"/>
      <c r="AG995" s="38"/>
      <c r="AH995" s="38"/>
      <c r="AJ995" s="39"/>
    </row>
    <row r="996" spans="4:36" s="36" customFormat="1" x14ac:dyDescent="0.25">
      <c r="D996" s="37"/>
      <c r="E996" s="38"/>
      <c r="F996" s="38"/>
      <c r="G996" s="38"/>
      <c r="H996" s="38"/>
      <c r="I996" s="38"/>
      <c r="J996" s="38"/>
      <c r="K996" s="38"/>
      <c r="M996" s="37"/>
      <c r="N996" s="37"/>
      <c r="O996" s="37"/>
      <c r="AD996" s="38"/>
      <c r="AE996" s="38"/>
      <c r="AF996" s="38"/>
      <c r="AG996" s="38"/>
      <c r="AH996" s="38"/>
      <c r="AJ996" s="39"/>
    </row>
    <row r="997" spans="4:36" s="36" customFormat="1" x14ac:dyDescent="0.25">
      <c r="D997" s="37"/>
      <c r="E997" s="38"/>
      <c r="F997" s="38"/>
      <c r="G997" s="38"/>
      <c r="H997" s="38"/>
      <c r="I997" s="38"/>
      <c r="J997" s="38"/>
      <c r="K997" s="38"/>
      <c r="M997" s="37"/>
      <c r="N997" s="37"/>
      <c r="O997" s="37"/>
      <c r="AD997" s="38"/>
      <c r="AE997" s="38"/>
      <c r="AF997" s="38"/>
      <c r="AG997" s="38"/>
      <c r="AH997" s="38"/>
      <c r="AJ997" s="39"/>
    </row>
    <row r="998" spans="4:36" s="36" customFormat="1" x14ac:dyDescent="0.25">
      <c r="D998" s="37"/>
      <c r="E998" s="38"/>
      <c r="F998" s="38"/>
      <c r="G998" s="38"/>
      <c r="H998" s="38"/>
      <c r="I998" s="38"/>
      <c r="J998" s="38"/>
      <c r="K998" s="38"/>
      <c r="M998" s="37"/>
      <c r="N998" s="37"/>
      <c r="O998" s="37"/>
      <c r="AD998" s="38"/>
      <c r="AE998" s="38"/>
      <c r="AF998" s="38"/>
      <c r="AG998" s="38"/>
      <c r="AH998" s="38"/>
      <c r="AJ998" s="39"/>
    </row>
    <row r="999" spans="4:36" s="36" customFormat="1" x14ac:dyDescent="0.25">
      <c r="D999" s="37"/>
      <c r="E999" s="38"/>
      <c r="F999" s="38"/>
      <c r="G999" s="38"/>
      <c r="H999" s="38"/>
      <c r="I999" s="38"/>
      <c r="J999" s="38"/>
      <c r="K999" s="38"/>
      <c r="M999" s="37"/>
      <c r="N999" s="37"/>
      <c r="O999" s="37"/>
      <c r="AD999" s="38"/>
      <c r="AE999" s="38"/>
      <c r="AF999" s="38"/>
      <c r="AG999" s="38"/>
      <c r="AH999" s="38"/>
      <c r="AJ999" s="39"/>
    </row>
    <row r="1000" spans="4:36" s="36" customFormat="1" x14ac:dyDescent="0.25">
      <c r="D1000" s="37"/>
      <c r="E1000" s="38"/>
      <c r="F1000" s="38"/>
      <c r="G1000" s="38"/>
      <c r="H1000" s="38"/>
      <c r="I1000" s="38"/>
      <c r="J1000" s="38"/>
      <c r="K1000" s="38"/>
      <c r="M1000" s="37"/>
      <c r="N1000" s="37"/>
      <c r="O1000" s="37"/>
      <c r="AD1000" s="38"/>
      <c r="AE1000" s="38"/>
      <c r="AF1000" s="38"/>
      <c r="AG1000" s="38"/>
      <c r="AH1000" s="38"/>
      <c r="AJ1000" s="39"/>
    </row>
    <row r="1001" spans="4:36" s="36" customFormat="1" x14ac:dyDescent="0.25">
      <c r="D1001" s="37"/>
      <c r="E1001" s="38"/>
      <c r="F1001" s="38"/>
      <c r="G1001" s="38"/>
      <c r="H1001" s="38"/>
      <c r="I1001" s="38"/>
      <c r="J1001" s="38"/>
      <c r="K1001" s="38"/>
      <c r="M1001" s="37"/>
      <c r="N1001" s="37"/>
      <c r="O1001" s="37"/>
      <c r="AD1001" s="38"/>
      <c r="AE1001" s="38"/>
      <c r="AF1001" s="38"/>
      <c r="AG1001" s="38"/>
      <c r="AH1001" s="38"/>
      <c r="AJ1001" s="39"/>
    </row>
    <row r="1002" spans="4:36" s="36" customFormat="1" x14ac:dyDescent="0.25">
      <c r="D1002" s="37"/>
      <c r="E1002" s="38"/>
      <c r="F1002" s="38"/>
      <c r="G1002" s="38"/>
      <c r="H1002" s="38"/>
      <c r="I1002" s="38"/>
      <c r="J1002" s="38"/>
      <c r="K1002" s="38"/>
      <c r="M1002" s="37"/>
      <c r="N1002" s="37"/>
      <c r="O1002" s="37"/>
      <c r="AD1002" s="38"/>
      <c r="AE1002" s="38"/>
      <c r="AF1002" s="38"/>
      <c r="AG1002" s="38"/>
      <c r="AH1002" s="38"/>
      <c r="AJ1002" s="39"/>
    </row>
    <row r="1003" spans="4:36" s="36" customFormat="1" x14ac:dyDescent="0.25">
      <c r="D1003" s="37"/>
      <c r="E1003" s="38"/>
      <c r="F1003" s="38"/>
      <c r="G1003" s="38"/>
      <c r="H1003" s="38"/>
      <c r="I1003" s="38"/>
      <c r="J1003" s="38"/>
      <c r="K1003" s="38"/>
      <c r="M1003" s="37"/>
      <c r="N1003" s="37"/>
      <c r="O1003" s="37"/>
      <c r="AD1003" s="38"/>
      <c r="AE1003" s="38"/>
      <c r="AF1003" s="38"/>
      <c r="AG1003" s="38"/>
      <c r="AH1003" s="38"/>
      <c r="AJ1003" s="39"/>
    </row>
    <row r="1004" spans="4:36" s="36" customFormat="1" x14ac:dyDescent="0.25">
      <c r="D1004" s="37"/>
      <c r="E1004" s="38"/>
      <c r="F1004" s="38"/>
      <c r="G1004" s="38"/>
      <c r="H1004" s="38"/>
      <c r="I1004" s="38"/>
      <c r="J1004" s="38"/>
      <c r="K1004" s="38"/>
      <c r="M1004" s="37"/>
      <c r="N1004" s="37"/>
      <c r="O1004" s="37"/>
      <c r="AD1004" s="38"/>
      <c r="AE1004" s="38"/>
      <c r="AF1004" s="38"/>
      <c r="AG1004" s="38"/>
      <c r="AH1004" s="38"/>
      <c r="AJ1004" s="39"/>
    </row>
    <row r="1005" spans="4:36" s="36" customFormat="1" x14ac:dyDescent="0.25">
      <c r="D1005" s="37"/>
      <c r="E1005" s="38"/>
      <c r="F1005" s="38"/>
      <c r="G1005" s="38"/>
      <c r="H1005" s="38"/>
      <c r="I1005" s="38"/>
      <c r="J1005" s="38"/>
      <c r="K1005" s="38"/>
      <c r="M1005" s="37"/>
      <c r="N1005" s="37"/>
      <c r="O1005" s="37"/>
      <c r="AD1005" s="38"/>
      <c r="AE1005" s="38"/>
      <c r="AF1005" s="38"/>
      <c r="AG1005" s="38"/>
      <c r="AH1005" s="38"/>
      <c r="AJ1005" s="39"/>
    </row>
    <row r="1006" spans="4:36" s="36" customFormat="1" x14ac:dyDescent="0.25">
      <c r="D1006" s="37"/>
      <c r="E1006" s="38"/>
      <c r="F1006" s="38"/>
      <c r="G1006" s="38"/>
      <c r="H1006" s="38"/>
      <c r="I1006" s="38"/>
      <c r="J1006" s="38"/>
      <c r="K1006" s="38"/>
      <c r="M1006" s="37"/>
      <c r="N1006" s="37"/>
      <c r="O1006" s="37"/>
      <c r="AD1006" s="38"/>
      <c r="AE1006" s="38"/>
      <c r="AF1006" s="38"/>
      <c r="AG1006" s="38"/>
      <c r="AH1006" s="38"/>
      <c r="AJ1006" s="39"/>
    </row>
    <row r="1007" spans="4:36" s="36" customFormat="1" x14ac:dyDescent="0.25">
      <c r="D1007" s="37"/>
      <c r="E1007" s="38"/>
      <c r="F1007" s="38"/>
      <c r="G1007" s="38"/>
      <c r="H1007" s="38"/>
      <c r="I1007" s="38"/>
      <c r="J1007" s="38"/>
      <c r="K1007" s="38"/>
      <c r="M1007" s="37"/>
      <c r="N1007" s="37"/>
      <c r="O1007" s="37"/>
      <c r="AD1007" s="38"/>
      <c r="AE1007" s="38"/>
      <c r="AF1007" s="38"/>
      <c r="AG1007" s="38"/>
      <c r="AH1007" s="38"/>
      <c r="AJ1007" s="39"/>
    </row>
    <row r="1008" spans="4:36" s="36" customFormat="1" x14ac:dyDescent="0.25">
      <c r="D1008" s="37"/>
      <c r="E1008" s="38"/>
      <c r="F1008" s="38"/>
      <c r="G1008" s="38"/>
      <c r="H1008" s="38"/>
      <c r="I1008" s="38"/>
      <c r="J1008" s="38"/>
      <c r="K1008" s="38"/>
      <c r="M1008" s="37"/>
      <c r="N1008" s="37"/>
      <c r="O1008" s="37"/>
      <c r="AD1008" s="38"/>
      <c r="AE1008" s="38"/>
      <c r="AF1008" s="38"/>
      <c r="AG1008" s="38"/>
      <c r="AH1008" s="38"/>
      <c r="AJ1008" s="39"/>
    </row>
    <row r="1009" spans="4:36" s="36" customFormat="1" x14ac:dyDescent="0.25">
      <c r="D1009" s="37"/>
      <c r="E1009" s="38"/>
      <c r="F1009" s="38"/>
      <c r="G1009" s="38"/>
      <c r="H1009" s="38"/>
      <c r="I1009" s="38"/>
      <c r="J1009" s="38"/>
      <c r="K1009" s="38"/>
      <c r="M1009" s="37"/>
      <c r="N1009" s="37"/>
      <c r="O1009" s="37"/>
      <c r="AD1009" s="38"/>
      <c r="AE1009" s="38"/>
      <c r="AF1009" s="38"/>
      <c r="AG1009" s="38"/>
      <c r="AH1009" s="38"/>
      <c r="AJ1009" s="39"/>
    </row>
    <row r="1010" spans="4:36" s="36" customFormat="1" x14ac:dyDescent="0.25">
      <c r="D1010" s="37"/>
      <c r="E1010" s="38"/>
      <c r="F1010" s="38"/>
      <c r="G1010" s="38"/>
      <c r="H1010" s="38"/>
      <c r="I1010" s="38"/>
      <c r="J1010" s="38"/>
      <c r="K1010" s="38"/>
      <c r="M1010" s="37"/>
      <c r="N1010" s="37"/>
      <c r="O1010" s="37"/>
      <c r="AD1010" s="38"/>
      <c r="AE1010" s="38"/>
      <c r="AF1010" s="38"/>
      <c r="AG1010" s="38"/>
      <c r="AH1010" s="38"/>
      <c r="AJ1010" s="39"/>
    </row>
    <row r="1011" spans="4:36" s="36" customFormat="1" x14ac:dyDescent="0.25">
      <c r="D1011" s="37"/>
      <c r="E1011" s="38"/>
      <c r="F1011" s="38"/>
      <c r="G1011" s="38"/>
      <c r="H1011" s="38"/>
      <c r="I1011" s="38"/>
      <c r="J1011" s="38"/>
      <c r="K1011" s="38"/>
      <c r="M1011" s="37"/>
      <c r="N1011" s="37"/>
      <c r="O1011" s="37"/>
      <c r="AD1011" s="38"/>
      <c r="AE1011" s="38"/>
      <c r="AF1011" s="38"/>
      <c r="AG1011" s="38"/>
      <c r="AH1011" s="38"/>
      <c r="AJ1011" s="39"/>
    </row>
    <row r="1012" spans="4:36" s="36" customFormat="1" x14ac:dyDescent="0.25">
      <c r="D1012" s="37"/>
      <c r="E1012" s="38"/>
      <c r="F1012" s="38"/>
      <c r="G1012" s="38"/>
      <c r="H1012" s="38"/>
      <c r="I1012" s="38"/>
      <c r="J1012" s="38"/>
      <c r="K1012" s="38"/>
      <c r="M1012" s="37"/>
      <c r="N1012" s="37"/>
      <c r="O1012" s="37"/>
      <c r="AD1012" s="38"/>
      <c r="AE1012" s="38"/>
      <c r="AF1012" s="38"/>
      <c r="AG1012" s="38"/>
      <c r="AH1012" s="38"/>
      <c r="AJ1012" s="39"/>
    </row>
    <row r="1013" spans="4:36" s="36" customFormat="1" x14ac:dyDescent="0.25">
      <c r="D1013" s="37"/>
      <c r="E1013" s="38"/>
      <c r="F1013" s="38"/>
      <c r="G1013" s="38"/>
      <c r="H1013" s="38"/>
      <c r="I1013" s="38"/>
      <c r="J1013" s="38"/>
      <c r="K1013" s="38"/>
      <c r="M1013" s="37"/>
      <c r="N1013" s="37"/>
      <c r="O1013" s="37"/>
      <c r="AD1013" s="38"/>
      <c r="AE1013" s="38"/>
      <c r="AF1013" s="38"/>
      <c r="AG1013" s="38"/>
      <c r="AH1013" s="38"/>
      <c r="AJ1013" s="39"/>
    </row>
    <row r="1014" spans="4:36" s="36" customFormat="1" x14ac:dyDescent="0.25">
      <c r="D1014" s="37"/>
      <c r="E1014" s="38"/>
      <c r="F1014" s="38"/>
      <c r="G1014" s="38"/>
      <c r="H1014" s="38"/>
      <c r="I1014" s="38"/>
      <c r="J1014" s="38"/>
      <c r="K1014" s="38"/>
      <c r="M1014" s="37"/>
      <c r="N1014" s="37"/>
      <c r="O1014" s="37"/>
      <c r="AD1014" s="38"/>
      <c r="AE1014" s="38"/>
      <c r="AF1014" s="38"/>
      <c r="AG1014" s="38"/>
      <c r="AH1014" s="38"/>
      <c r="AJ1014" s="39"/>
    </row>
    <row r="1015" spans="4:36" s="36" customFormat="1" x14ac:dyDescent="0.25">
      <c r="D1015" s="37"/>
      <c r="E1015" s="38"/>
      <c r="F1015" s="38"/>
      <c r="G1015" s="38"/>
      <c r="H1015" s="38"/>
      <c r="I1015" s="38"/>
      <c r="J1015" s="38"/>
      <c r="K1015" s="38"/>
      <c r="M1015" s="37"/>
      <c r="N1015" s="37"/>
      <c r="O1015" s="37"/>
      <c r="AD1015" s="38"/>
      <c r="AE1015" s="38"/>
      <c r="AF1015" s="38"/>
      <c r="AG1015" s="38"/>
      <c r="AH1015" s="38"/>
      <c r="AJ1015" s="39"/>
    </row>
    <row r="1016" spans="4:36" s="36" customFormat="1" x14ac:dyDescent="0.25">
      <c r="D1016" s="37"/>
      <c r="E1016" s="38"/>
      <c r="F1016" s="38"/>
      <c r="G1016" s="38"/>
      <c r="H1016" s="38"/>
      <c r="I1016" s="38"/>
      <c r="J1016" s="38"/>
      <c r="K1016" s="38"/>
      <c r="M1016" s="37"/>
      <c r="N1016" s="37"/>
      <c r="O1016" s="37"/>
      <c r="AD1016" s="38"/>
      <c r="AE1016" s="38"/>
      <c r="AF1016" s="38"/>
      <c r="AG1016" s="38"/>
      <c r="AH1016" s="38"/>
      <c r="AJ1016" s="39"/>
    </row>
    <row r="1017" spans="4:36" s="36" customFormat="1" x14ac:dyDescent="0.25">
      <c r="D1017" s="37"/>
      <c r="E1017" s="38"/>
      <c r="F1017" s="38"/>
      <c r="G1017" s="38"/>
      <c r="H1017" s="38"/>
      <c r="I1017" s="38"/>
      <c r="J1017" s="38"/>
      <c r="K1017" s="38"/>
      <c r="M1017" s="37"/>
      <c r="N1017" s="37"/>
      <c r="O1017" s="37"/>
      <c r="AD1017" s="38"/>
      <c r="AE1017" s="38"/>
      <c r="AF1017" s="38"/>
      <c r="AG1017" s="38"/>
      <c r="AH1017" s="38"/>
      <c r="AJ1017" s="39"/>
    </row>
    <row r="1018" spans="4:36" s="36" customFormat="1" x14ac:dyDescent="0.25">
      <c r="D1018" s="37"/>
      <c r="E1018" s="38"/>
      <c r="F1018" s="38"/>
      <c r="G1018" s="38"/>
      <c r="H1018" s="38"/>
      <c r="I1018" s="38"/>
      <c r="J1018" s="38"/>
      <c r="K1018" s="38"/>
      <c r="M1018" s="37"/>
      <c r="N1018" s="37"/>
      <c r="O1018" s="37"/>
      <c r="AD1018" s="38"/>
      <c r="AE1018" s="38"/>
      <c r="AF1018" s="38"/>
      <c r="AG1018" s="38"/>
      <c r="AH1018" s="38"/>
      <c r="AJ1018" s="39"/>
    </row>
    <row r="1019" spans="4:36" s="36" customFormat="1" x14ac:dyDescent="0.25">
      <c r="D1019" s="37"/>
      <c r="E1019" s="38"/>
      <c r="F1019" s="38"/>
      <c r="G1019" s="38"/>
      <c r="H1019" s="38"/>
      <c r="I1019" s="38"/>
      <c r="J1019" s="38"/>
      <c r="K1019" s="38"/>
      <c r="M1019" s="37"/>
      <c r="N1019" s="37"/>
      <c r="O1019" s="37"/>
      <c r="AD1019" s="38"/>
      <c r="AE1019" s="38"/>
      <c r="AF1019" s="38"/>
      <c r="AG1019" s="38"/>
      <c r="AH1019" s="38"/>
      <c r="AJ1019" s="39"/>
    </row>
    <row r="1020" spans="4:36" s="36" customFormat="1" x14ac:dyDescent="0.25">
      <c r="D1020" s="37"/>
      <c r="E1020" s="38"/>
      <c r="F1020" s="38"/>
      <c r="G1020" s="38"/>
      <c r="H1020" s="38"/>
      <c r="I1020" s="38"/>
      <c r="J1020" s="38"/>
      <c r="K1020" s="38"/>
      <c r="M1020" s="37"/>
      <c r="N1020" s="37"/>
      <c r="O1020" s="37"/>
      <c r="AD1020" s="38"/>
      <c r="AE1020" s="38"/>
      <c r="AF1020" s="38"/>
      <c r="AG1020" s="38"/>
      <c r="AH1020" s="38"/>
      <c r="AJ1020" s="39"/>
    </row>
    <row r="1021" spans="4:36" s="36" customFormat="1" x14ac:dyDescent="0.25">
      <c r="D1021" s="37"/>
      <c r="E1021" s="38"/>
      <c r="F1021" s="38"/>
      <c r="G1021" s="38"/>
      <c r="H1021" s="38"/>
      <c r="I1021" s="38"/>
      <c r="J1021" s="38"/>
      <c r="K1021" s="38"/>
      <c r="M1021" s="37"/>
      <c r="N1021" s="37"/>
      <c r="O1021" s="37"/>
      <c r="AD1021" s="38"/>
      <c r="AE1021" s="38"/>
      <c r="AF1021" s="38"/>
      <c r="AG1021" s="38"/>
      <c r="AH1021" s="38"/>
      <c r="AJ1021" s="39"/>
    </row>
    <row r="1022" spans="4:36" s="36" customFormat="1" x14ac:dyDescent="0.25">
      <c r="D1022" s="37"/>
      <c r="E1022" s="38"/>
      <c r="F1022" s="38"/>
      <c r="G1022" s="38"/>
      <c r="H1022" s="38"/>
      <c r="I1022" s="38"/>
      <c r="J1022" s="38"/>
      <c r="K1022" s="38"/>
      <c r="M1022" s="37"/>
      <c r="N1022" s="37"/>
      <c r="O1022" s="37"/>
      <c r="AD1022" s="38"/>
      <c r="AE1022" s="38"/>
      <c r="AF1022" s="38"/>
      <c r="AG1022" s="38"/>
      <c r="AH1022" s="38"/>
      <c r="AJ1022" s="39"/>
    </row>
    <row r="1023" spans="4:36" s="36" customFormat="1" x14ac:dyDescent="0.25">
      <c r="D1023" s="37"/>
      <c r="E1023" s="38"/>
      <c r="F1023" s="38"/>
      <c r="G1023" s="38"/>
      <c r="H1023" s="38"/>
      <c r="I1023" s="38"/>
      <c r="J1023" s="38"/>
      <c r="K1023" s="38"/>
      <c r="M1023" s="37"/>
      <c r="N1023" s="37"/>
      <c r="O1023" s="37"/>
      <c r="AD1023" s="38"/>
      <c r="AE1023" s="38"/>
      <c r="AF1023" s="38"/>
      <c r="AG1023" s="38"/>
      <c r="AH1023" s="38"/>
      <c r="AJ1023" s="39"/>
    </row>
    <row r="1024" spans="4:36" s="36" customFormat="1" x14ac:dyDescent="0.25">
      <c r="D1024" s="37"/>
      <c r="E1024" s="38"/>
      <c r="F1024" s="38"/>
      <c r="G1024" s="38"/>
      <c r="H1024" s="38"/>
      <c r="I1024" s="38"/>
      <c r="J1024" s="38"/>
      <c r="K1024" s="38"/>
      <c r="M1024" s="37"/>
      <c r="N1024" s="37"/>
      <c r="O1024" s="37"/>
      <c r="AD1024" s="38"/>
      <c r="AE1024" s="38"/>
      <c r="AF1024" s="38"/>
      <c r="AG1024" s="38"/>
      <c r="AH1024" s="38"/>
      <c r="AJ1024" s="39"/>
    </row>
    <row r="1025" spans="4:36" s="36" customFormat="1" x14ac:dyDescent="0.25">
      <c r="D1025" s="37"/>
      <c r="E1025" s="38"/>
      <c r="F1025" s="38"/>
      <c r="G1025" s="38"/>
      <c r="H1025" s="38"/>
      <c r="I1025" s="38"/>
      <c r="J1025" s="38"/>
      <c r="K1025" s="38"/>
      <c r="M1025" s="37"/>
      <c r="N1025" s="37"/>
      <c r="O1025" s="37"/>
      <c r="AD1025" s="38"/>
      <c r="AE1025" s="38"/>
      <c r="AF1025" s="38"/>
      <c r="AG1025" s="38"/>
      <c r="AH1025" s="38"/>
      <c r="AJ1025" s="39"/>
    </row>
    <row r="1026" spans="4:36" s="36" customFormat="1" x14ac:dyDescent="0.25">
      <c r="D1026" s="37"/>
      <c r="E1026" s="38"/>
      <c r="F1026" s="38"/>
      <c r="G1026" s="38"/>
      <c r="H1026" s="38"/>
      <c r="I1026" s="38"/>
      <c r="J1026" s="38"/>
      <c r="K1026" s="38"/>
      <c r="M1026" s="37"/>
      <c r="N1026" s="37"/>
      <c r="O1026" s="37"/>
      <c r="AD1026" s="38"/>
      <c r="AE1026" s="38"/>
      <c r="AF1026" s="38"/>
      <c r="AG1026" s="38"/>
      <c r="AH1026" s="38"/>
      <c r="AJ1026" s="39"/>
    </row>
    <row r="1027" spans="4:36" s="36" customFormat="1" x14ac:dyDescent="0.25">
      <c r="D1027" s="37"/>
      <c r="E1027" s="38"/>
      <c r="F1027" s="38"/>
      <c r="G1027" s="38"/>
      <c r="H1027" s="38"/>
      <c r="I1027" s="38"/>
      <c r="J1027" s="38"/>
      <c r="K1027" s="38"/>
      <c r="M1027" s="37"/>
      <c r="N1027" s="37"/>
      <c r="O1027" s="37"/>
      <c r="AD1027" s="38"/>
      <c r="AE1027" s="38"/>
      <c r="AF1027" s="38"/>
      <c r="AG1027" s="38"/>
      <c r="AH1027" s="38"/>
      <c r="AJ1027" s="39"/>
    </row>
    <row r="1028" spans="4:36" s="36" customFormat="1" x14ac:dyDescent="0.25">
      <c r="D1028" s="37"/>
      <c r="E1028" s="38"/>
      <c r="F1028" s="38"/>
      <c r="G1028" s="38"/>
      <c r="H1028" s="38"/>
      <c r="I1028" s="38"/>
      <c r="J1028" s="38"/>
      <c r="K1028" s="38"/>
      <c r="M1028" s="37"/>
      <c r="N1028" s="37"/>
      <c r="O1028" s="37"/>
      <c r="AD1028" s="38"/>
      <c r="AE1028" s="38"/>
      <c r="AF1028" s="38"/>
      <c r="AG1028" s="38"/>
      <c r="AH1028" s="38"/>
      <c r="AJ1028" s="39"/>
    </row>
    <row r="1029" spans="4:36" s="36" customFormat="1" x14ac:dyDescent="0.25">
      <c r="D1029" s="37"/>
      <c r="E1029" s="38"/>
      <c r="F1029" s="38"/>
      <c r="G1029" s="38"/>
      <c r="H1029" s="38"/>
      <c r="I1029" s="38"/>
      <c r="J1029" s="38"/>
      <c r="K1029" s="38"/>
      <c r="M1029" s="37"/>
      <c r="N1029" s="37"/>
      <c r="O1029" s="37"/>
      <c r="AD1029" s="38"/>
      <c r="AE1029" s="38"/>
      <c r="AF1029" s="38"/>
      <c r="AG1029" s="38"/>
      <c r="AH1029" s="38"/>
      <c r="AJ1029" s="39"/>
    </row>
    <row r="1030" spans="4:36" s="36" customFormat="1" x14ac:dyDescent="0.25">
      <c r="D1030" s="37"/>
      <c r="E1030" s="38"/>
      <c r="F1030" s="38"/>
      <c r="G1030" s="38"/>
      <c r="H1030" s="38"/>
      <c r="I1030" s="38"/>
      <c r="J1030" s="38"/>
      <c r="K1030" s="38"/>
      <c r="M1030" s="37"/>
      <c r="N1030" s="37"/>
      <c r="O1030" s="37"/>
      <c r="AD1030" s="38"/>
      <c r="AE1030" s="38"/>
      <c r="AF1030" s="38"/>
      <c r="AG1030" s="38"/>
      <c r="AH1030" s="38"/>
      <c r="AJ1030" s="39"/>
    </row>
    <row r="1031" spans="4:36" s="36" customFormat="1" x14ac:dyDescent="0.25">
      <c r="D1031" s="37"/>
      <c r="E1031" s="38"/>
      <c r="F1031" s="38"/>
      <c r="G1031" s="38"/>
      <c r="H1031" s="38"/>
      <c r="I1031" s="38"/>
      <c r="J1031" s="38"/>
      <c r="K1031" s="38"/>
      <c r="M1031" s="37"/>
      <c r="N1031" s="37"/>
      <c r="O1031" s="37"/>
      <c r="AD1031" s="38"/>
      <c r="AE1031" s="38"/>
      <c r="AF1031" s="38"/>
      <c r="AG1031" s="38"/>
      <c r="AH1031" s="38"/>
      <c r="AJ1031" s="39"/>
    </row>
    <row r="1032" spans="4:36" s="36" customFormat="1" x14ac:dyDescent="0.25">
      <c r="D1032" s="37"/>
      <c r="E1032" s="38"/>
      <c r="F1032" s="38"/>
      <c r="G1032" s="38"/>
      <c r="H1032" s="38"/>
      <c r="I1032" s="38"/>
      <c r="J1032" s="38"/>
      <c r="K1032" s="38"/>
      <c r="M1032" s="37"/>
      <c r="N1032" s="37"/>
      <c r="O1032" s="37"/>
      <c r="AD1032" s="38"/>
      <c r="AE1032" s="38"/>
      <c r="AF1032" s="38"/>
      <c r="AG1032" s="38"/>
      <c r="AH1032" s="38"/>
      <c r="AJ1032" s="39"/>
    </row>
    <row r="1033" spans="4:36" s="36" customFormat="1" x14ac:dyDescent="0.25">
      <c r="D1033" s="37"/>
      <c r="E1033" s="38"/>
      <c r="F1033" s="38"/>
      <c r="G1033" s="38"/>
      <c r="H1033" s="38"/>
      <c r="I1033" s="38"/>
      <c r="J1033" s="38"/>
      <c r="K1033" s="38"/>
      <c r="M1033" s="37"/>
      <c r="N1033" s="37"/>
      <c r="O1033" s="37"/>
      <c r="AD1033" s="38"/>
      <c r="AE1033" s="38"/>
      <c r="AF1033" s="38"/>
      <c r="AG1033" s="38"/>
      <c r="AH1033" s="38"/>
      <c r="AJ1033" s="39"/>
    </row>
    <row r="1034" spans="4:36" s="36" customFormat="1" x14ac:dyDescent="0.25">
      <c r="D1034" s="37"/>
      <c r="E1034" s="38"/>
      <c r="F1034" s="38"/>
      <c r="G1034" s="38"/>
      <c r="H1034" s="38"/>
      <c r="I1034" s="38"/>
      <c r="J1034" s="38"/>
      <c r="K1034" s="38"/>
      <c r="M1034" s="37"/>
      <c r="N1034" s="37"/>
      <c r="O1034" s="37"/>
      <c r="AD1034" s="38"/>
      <c r="AE1034" s="38"/>
      <c r="AF1034" s="38"/>
      <c r="AG1034" s="38"/>
      <c r="AH1034" s="38"/>
      <c r="AJ1034" s="39"/>
    </row>
    <row r="1035" spans="4:36" s="36" customFormat="1" x14ac:dyDescent="0.25">
      <c r="D1035" s="37"/>
      <c r="E1035" s="38"/>
      <c r="F1035" s="38"/>
      <c r="G1035" s="38"/>
      <c r="H1035" s="38"/>
      <c r="I1035" s="38"/>
      <c r="J1035" s="38"/>
      <c r="K1035" s="38"/>
      <c r="M1035" s="37"/>
      <c r="N1035" s="37"/>
      <c r="O1035" s="37"/>
      <c r="AD1035" s="38"/>
      <c r="AE1035" s="38"/>
      <c r="AF1035" s="38"/>
      <c r="AG1035" s="38"/>
      <c r="AH1035" s="38"/>
      <c r="AJ1035" s="39"/>
    </row>
    <row r="1036" spans="4:36" s="36" customFormat="1" x14ac:dyDescent="0.25">
      <c r="D1036" s="37"/>
      <c r="E1036" s="38"/>
      <c r="F1036" s="38"/>
      <c r="G1036" s="38"/>
      <c r="H1036" s="38"/>
      <c r="I1036" s="38"/>
      <c r="J1036" s="38"/>
      <c r="K1036" s="38"/>
      <c r="M1036" s="37"/>
      <c r="N1036" s="37"/>
      <c r="O1036" s="37"/>
      <c r="AD1036" s="38"/>
      <c r="AE1036" s="38"/>
      <c r="AF1036" s="38"/>
      <c r="AG1036" s="38"/>
      <c r="AH1036" s="38"/>
      <c r="AJ1036" s="39"/>
    </row>
    <row r="1037" spans="4:36" s="36" customFormat="1" x14ac:dyDescent="0.25">
      <c r="D1037" s="37"/>
      <c r="E1037" s="38"/>
      <c r="F1037" s="38"/>
      <c r="G1037" s="38"/>
      <c r="H1037" s="38"/>
      <c r="I1037" s="38"/>
      <c r="J1037" s="38"/>
      <c r="K1037" s="38"/>
      <c r="M1037" s="37"/>
      <c r="N1037" s="37"/>
      <c r="O1037" s="37"/>
      <c r="AD1037" s="38"/>
      <c r="AE1037" s="38"/>
      <c r="AF1037" s="38"/>
      <c r="AG1037" s="38"/>
      <c r="AH1037" s="38"/>
      <c r="AJ1037" s="39"/>
    </row>
    <row r="1038" spans="4:36" s="36" customFormat="1" x14ac:dyDescent="0.25">
      <c r="D1038" s="37"/>
      <c r="E1038" s="38"/>
      <c r="F1038" s="38"/>
      <c r="G1038" s="38"/>
      <c r="H1038" s="38"/>
      <c r="I1038" s="38"/>
      <c r="J1038" s="38"/>
      <c r="K1038" s="38"/>
      <c r="M1038" s="37"/>
      <c r="N1038" s="37"/>
      <c r="O1038" s="37"/>
      <c r="AD1038" s="38"/>
      <c r="AE1038" s="38"/>
      <c r="AF1038" s="38"/>
      <c r="AG1038" s="38"/>
      <c r="AH1038" s="38"/>
      <c r="AJ1038" s="39"/>
    </row>
    <row r="1039" spans="4:36" s="36" customFormat="1" x14ac:dyDescent="0.25">
      <c r="D1039" s="37"/>
      <c r="E1039" s="38"/>
      <c r="F1039" s="38"/>
      <c r="G1039" s="38"/>
      <c r="H1039" s="38"/>
      <c r="I1039" s="38"/>
      <c r="J1039" s="38"/>
      <c r="K1039" s="38"/>
      <c r="M1039" s="37"/>
      <c r="N1039" s="37"/>
      <c r="O1039" s="37"/>
      <c r="AD1039" s="38"/>
      <c r="AE1039" s="38"/>
      <c r="AF1039" s="38"/>
      <c r="AG1039" s="38"/>
      <c r="AH1039" s="38"/>
      <c r="AJ1039" s="39"/>
    </row>
    <row r="1040" spans="4:36" s="36" customFormat="1" x14ac:dyDescent="0.25">
      <c r="D1040" s="37"/>
      <c r="E1040" s="38"/>
      <c r="F1040" s="38"/>
      <c r="G1040" s="38"/>
      <c r="H1040" s="38"/>
      <c r="I1040" s="38"/>
      <c r="J1040" s="38"/>
      <c r="K1040" s="38"/>
      <c r="M1040" s="37"/>
      <c r="N1040" s="37"/>
      <c r="O1040" s="37"/>
      <c r="AD1040" s="38"/>
      <c r="AE1040" s="38"/>
      <c r="AF1040" s="38"/>
      <c r="AG1040" s="38"/>
      <c r="AH1040" s="38"/>
      <c r="AJ1040" s="39"/>
    </row>
    <row r="1041" spans="4:36" s="36" customFormat="1" x14ac:dyDescent="0.25">
      <c r="D1041" s="37"/>
      <c r="E1041" s="38"/>
      <c r="F1041" s="38"/>
      <c r="G1041" s="38"/>
      <c r="H1041" s="38"/>
      <c r="I1041" s="38"/>
      <c r="J1041" s="38"/>
      <c r="K1041" s="38"/>
      <c r="M1041" s="37"/>
      <c r="N1041" s="37"/>
      <c r="O1041" s="37"/>
      <c r="AD1041" s="38"/>
      <c r="AE1041" s="38"/>
      <c r="AF1041" s="38"/>
      <c r="AG1041" s="38"/>
      <c r="AH1041" s="38"/>
      <c r="AJ1041" s="39"/>
    </row>
    <row r="1042" spans="4:36" s="36" customFormat="1" x14ac:dyDescent="0.25">
      <c r="D1042" s="37"/>
      <c r="E1042" s="38"/>
      <c r="F1042" s="38"/>
      <c r="G1042" s="38"/>
      <c r="H1042" s="38"/>
      <c r="I1042" s="38"/>
      <c r="J1042" s="38"/>
      <c r="K1042" s="38"/>
      <c r="M1042" s="37"/>
      <c r="N1042" s="37"/>
      <c r="O1042" s="37"/>
      <c r="AD1042" s="38"/>
      <c r="AE1042" s="38"/>
      <c r="AF1042" s="38"/>
      <c r="AG1042" s="38"/>
      <c r="AH1042" s="38"/>
      <c r="AJ1042" s="39"/>
    </row>
    <row r="1043" spans="4:36" s="36" customFormat="1" x14ac:dyDescent="0.25">
      <c r="D1043" s="37"/>
      <c r="E1043" s="38"/>
      <c r="F1043" s="38"/>
      <c r="G1043" s="38"/>
      <c r="H1043" s="38"/>
      <c r="I1043" s="38"/>
      <c r="J1043" s="38"/>
      <c r="K1043" s="38"/>
      <c r="M1043" s="37"/>
      <c r="N1043" s="37"/>
      <c r="O1043" s="37"/>
      <c r="AD1043" s="38"/>
      <c r="AE1043" s="38"/>
      <c r="AF1043" s="38"/>
      <c r="AG1043" s="38"/>
      <c r="AH1043" s="38"/>
      <c r="AJ1043" s="39"/>
    </row>
    <row r="1044" spans="4:36" s="36" customFormat="1" x14ac:dyDescent="0.25">
      <c r="D1044" s="37"/>
      <c r="E1044" s="38"/>
      <c r="F1044" s="38"/>
      <c r="G1044" s="38"/>
      <c r="H1044" s="38"/>
      <c r="I1044" s="38"/>
      <c r="J1044" s="38"/>
      <c r="K1044" s="38"/>
      <c r="M1044" s="37"/>
      <c r="N1044" s="37"/>
      <c r="O1044" s="37"/>
      <c r="AD1044" s="38"/>
      <c r="AE1044" s="38"/>
      <c r="AF1044" s="38"/>
      <c r="AG1044" s="38"/>
      <c r="AH1044" s="38"/>
      <c r="AJ1044" s="39"/>
    </row>
    <row r="1045" spans="4:36" s="36" customFormat="1" x14ac:dyDescent="0.25">
      <c r="D1045" s="37"/>
      <c r="E1045" s="38"/>
      <c r="F1045" s="38"/>
      <c r="G1045" s="38"/>
      <c r="H1045" s="38"/>
      <c r="I1045" s="38"/>
      <c r="J1045" s="38"/>
      <c r="K1045" s="38"/>
      <c r="M1045" s="37"/>
      <c r="N1045" s="37"/>
      <c r="O1045" s="37"/>
      <c r="AD1045" s="38"/>
      <c r="AE1045" s="38"/>
      <c r="AF1045" s="38"/>
      <c r="AG1045" s="38"/>
      <c r="AH1045" s="38"/>
      <c r="AJ1045" s="39"/>
    </row>
    <row r="1046" spans="4:36" s="36" customFormat="1" x14ac:dyDescent="0.25">
      <c r="D1046" s="37"/>
      <c r="E1046" s="38"/>
      <c r="F1046" s="38"/>
      <c r="G1046" s="38"/>
      <c r="H1046" s="38"/>
      <c r="I1046" s="38"/>
      <c r="J1046" s="38"/>
      <c r="K1046" s="38"/>
      <c r="M1046" s="37"/>
      <c r="N1046" s="37"/>
      <c r="O1046" s="37"/>
      <c r="AD1046" s="38"/>
      <c r="AE1046" s="38"/>
      <c r="AF1046" s="38"/>
      <c r="AG1046" s="38"/>
      <c r="AH1046" s="38"/>
      <c r="AJ1046" s="39"/>
    </row>
    <row r="1047" spans="4:36" s="36" customFormat="1" x14ac:dyDescent="0.25">
      <c r="D1047" s="37"/>
      <c r="E1047" s="38"/>
      <c r="F1047" s="38"/>
      <c r="G1047" s="38"/>
      <c r="H1047" s="38"/>
      <c r="I1047" s="38"/>
      <c r="J1047" s="38"/>
      <c r="K1047" s="38"/>
      <c r="M1047" s="37"/>
      <c r="N1047" s="37"/>
      <c r="O1047" s="37"/>
      <c r="AD1047" s="38"/>
      <c r="AE1047" s="38"/>
      <c r="AF1047" s="38"/>
      <c r="AG1047" s="38"/>
      <c r="AH1047" s="38"/>
      <c r="AJ1047" s="39"/>
    </row>
    <row r="1048" spans="4:36" s="36" customFormat="1" x14ac:dyDescent="0.25">
      <c r="D1048" s="37"/>
      <c r="E1048" s="38"/>
      <c r="F1048" s="38"/>
      <c r="G1048" s="38"/>
      <c r="H1048" s="38"/>
      <c r="I1048" s="38"/>
      <c r="J1048" s="38"/>
      <c r="K1048" s="38"/>
      <c r="M1048" s="37"/>
      <c r="N1048" s="37"/>
      <c r="O1048" s="37"/>
      <c r="AD1048" s="38"/>
      <c r="AE1048" s="38"/>
      <c r="AF1048" s="38"/>
      <c r="AG1048" s="38"/>
      <c r="AH1048" s="38"/>
      <c r="AJ1048" s="39"/>
    </row>
    <row r="1049" spans="4:36" s="36" customFormat="1" x14ac:dyDescent="0.25">
      <c r="D1049" s="37"/>
      <c r="E1049" s="38"/>
      <c r="F1049" s="38"/>
      <c r="G1049" s="38"/>
      <c r="H1049" s="38"/>
      <c r="I1049" s="38"/>
      <c r="J1049" s="38"/>
      <c r="K1049" s="38"/>
      <c r="M1049" s="37"/>
      <c r="N1049" s="37"/>
      <c r="O1049" s="37"/>
      <c r="AD1049" s="38"/>
      <c r="AE1049" s="38"/>
      <c r="AF1049" s="38"/>
      <c r="AG1049" s="38"/>
      <c r="AH1049" s="38"/>
      <c r="AJ1049" s="39"/>
    </row>
    <row r="1050" spans="4:36" s="36" customFormat="1" x14ac:dyDescent="0.25">
      <c r="D1050" s="37"/>
      <c r="E1050" s="38"/>
      <c r="F1050" s="38"/>
      <c r="G1050" s="38"/>
      <c r="H1050" s="38"/>
      <c r="I1050" s="38"/>
      <c r="J1050" s="38"/>
      <c r="K1050" s="38"/>
      <c r="M1050" s="37"/>
      <c r="N1050" s="37"/>
      <c r="O1050" s="37"/>
      <c r="AD1050" s="38"/>
      <c r="AE1050" s="38"/>
      <c r="AF1050" s="38"/>
      <c r="AG1050" s="38"/>
      <c r="AH1050" s="38"/>
      <c r="AJ1050" s="39"/>
    </row>
    <row r="1051" spans="4:36" s="36" customFormat="1" x14ac:dyDescent="0.25">
      <c r="D1051" s="37"/>
      <c r="E1051" s="38"/>
      <c r="F1051" s="38"/>
      <c r="G1051" s="38"/>
      <c r="H1051" s="38"/>
      <c r="I1051" s="38"/>
      <c r="J1051" s="38"/>
      <c r="K1051" s="38"/>
      <c r="M1051" s="37"/>
      <c r="N1051" s="37"/>
      <c r="O1051" s="37"/>
      <c r="AD1051" s="38"/>
      <c r="AE1051" s="38"/>
      <c r="AF1051" s="38"/>
      <c r="AG1051" s="38"/>
      <c r="AH1051" s="38"/>
      <c r="AJ1051" s="39"/>
    </row>
    <row r="1052" spans="4:36" s="36" customFormat="1" x14ac:dyDescent="0.25">
      <c r="D1052" s="37"/>
      <c r="E1052" s="38"/>
      <c r="F1052" s="38"/>
      <c r="G1052" s="38"/>
      <c r="H1052" s="38"/>
      <c r="I1052" s="38"/>
      <c r="J1052" s="38"/>
      <c r="K1052" s="38"/>
      <c r="M1052" s="37"/>
      <c r="N1052" s="37"/>
      <c r="O1052" s="37"/>
      <c r="AD1052" s="38"/>
      <c r="AE1052" s="38"/>
      <c r="AF1052" s="38"/>
      <c r="AG1052" s="38"/>
      <c r="AH1052" s="38"/>
      <c r="AJ1052" s="39"/>
    </row>
    <row r="1053" spans="4:36" s="36" customFormat="1" x14ac:dyDescent="0.25">
      <c r="D1053" s="37"/>
      <c r="E1053" s="38"/>
      <c r="F1053" s="38"/>
      <c r="G1053" s="38"/>
      <c r="H1053" s="38"/>
      <c r="I1053" s="38"/>
      <c r="J1053" s="38"/>
      <c r="K1053" s="38"/>
      <c r="M1053" s="37"/>
      <c r="N1053" s="37"/>
      <c r="O1053" s="37"/>
      <c r="AD1053" s="38"/>
      <c r="AE1053" s="38"/>
      <c r="AF1053" s="38"/>
      <c r="AG1053" s="38"/>
      <c r="AH1053" s="38"/>
      <c r="AJ1053" s="39"/>
    </row>
    <row r="1054" spans="4:36" s="36" customFormat="1" x14ac:dyDescent="0.25">
      <c r="D1054" s="37"/>
      <c r="E1054" s="38"/>
      <c r="F1054" s="38"/>
      <c r="G1054" s="38"/>
      <c r="H1054" s="38"/>
      <c r="I1054" s="38"/>
      <c r="J1054" s="38"/>
      <c r="K1054" s="38"/>
      <c r="M1054" s="37"/>
      <c r="N1054" s="37"/>
      <c r="O1054" s="37"/>
      <c r="AD1054" s="38"/>
      <c r="AE1054" s="38"/>
      <c r="AF1054" s="38"/>
      <c r="AG1054" s="38"/>
      <c r="AH1054" s="38"/>
      <c r="AJ1054" s="39"/>
    </row>
    <row r="1055" spans="4:36" s="36" customFormat="1" x14ac:dyDescent="0.25">
      <c r="D1055" s="37"/>
      <c r="E1055" s="38"/>
      <c r="F1055" s="38"/>
      <c r="G1055" s="38"/>
      <c r="H1055" s="38"/>
      <c r="I1055" s="38"/>
      <c r="J1055" s="38"/>
      <c r="K1055" s="38"/>
      <c r="M1055" s="37"/>
      <c r="N1055" s="37"/>
      <c r="O1055" s="37"/>
      <c r="AD1055" s="38"/>
      <c r="AE1055" s="38"/>
      <c r="AF1055" s="38"/>
      <c r="AG1055" s="38"/>
      <c r="AH1055" s="38"/>
      <c r="AJ1055" s="39"/>
    </row>
    <row r="1056" spans="4:36" s="36" customFormat="1" x14ac:dyDescent="0.25">
      <c r="D1056" s="37"/>
      <c r="E1056" s="38"/>
      <c r="F1056" s="38"/>
      <c r="G1056" s="38"/>
      <c r="H1056" s="38"/>
      <c r="I1056" s="38"/>
      <c r="J1056" s="38"/>
      <c r="K1056" s="38"/>
      <c r="M1056" s="37"/>
      <c r="N1056" s="37"/>
      <c r="O1056" s="37"/>
      <c r="AD1056" s="38"/>
      <c r="AE1056" s="38"/>
      <c r="AF1056" s="38"/>
      <c r="AG1056" s="38"/>
      <c r="AH1056" s="38"/>
      <c r="AJ1056" s="39"/>
    </row>
    <row r="1057" spans="1:252" s="36" customFormat="1" x14ac:dyDescent="0.25">
      <c r="D1057" s="37"/>
      <c r="E1057" s="38"/>
      <c r="F1057" s="38"/>
      <c r="G1057" s="38"/>
      <c r="H1057" s="38"/>
      <c r="I1057" s="38"/>
      <c r="J1057" s="38"/>
      <c r="K1057" s="38"/>
      <c r="M1057" s="37"/>
      <c r="N1057" s="37"/>
      <c r="O1057" s="37"/>
      <c r="AD1057" s="38"/>
      <c r="AE1057" s="38"/>
      <c r="AF1057" s="38"/>
      <c r="AG1057" s="38"/>
      <c r="AH1057" s="38"/>
      <c r="AJ1057" s="39"/>
    </row>
    <row r="1058" spans="1:252" s="36" customFormat="1" x14ac:dyDescent="0.25">
      <c r="D1058" s="37"/>
      <c r="E1058" s="38"/>
      <c r="F1058" s="38"/>
      <c r="G1058" s="38"/>
      <c r="H1058" s="38"/>
      <c r="I1058" s="38"/>
      <c r="J1058" s="38"/>
      <c r="K1058" s="38"/>
      <c r="M1058" s="37"/>
      <c r="N1058" s="37"/>
      <c r="O1058" s="37"/>
      <c r="AD1058" s="38"/>
      <c r="AE1058" s="38"/>
      <c r="AF1058" s="38"/>
      <c r="AG1058" s="38"/>
      <c r="AH1058" s="38"/>
      <c r="AJ1058" s="39"/>
    </row>
    <row r="1059" spans="1:252" s="25" customFormat="1" x14ac:dyDescent="0.25">
      <c r="A1059" s="1"/>
      <c r="B1059" s="24"/>
      <c r="D1059" s="26"/>
      <c r="E1059" s="27"/>
      <c r="F1059" s="27"/>
      <c r="G1059" s="27"/>
      <c r="H1059" s="27"/>
      <c r="I1059" s="27"/>
      <c r="J1059" s="27"/>
      <c r="K1059" s="27"/>
      <c r="M1059" s="26"/>
      <c r="N1059" s="26"/>
      <c r="O1059" s="26"/>
      <c r="AD1059" s="27"/>
      <c r="AE1059" s="27"/>
      <c r="AF1059" s="27"/>
      <c r="AG1059" s="27"/>
      <c r="AH1059" s="27"/>
      <c r="AJ1059" s="28"/>
      <c r="AL1059" s="29"/>
      <c r="AM1059" s="36"/>
      <c r="AN1059" s="36"/>
      <c r="AO1059" s="36"/>
      <c r="AP1059" s="36"/>
      <c r="AQ1059" s="36"/>
      <c r="AR1059" s="36"/>
      <c r="AS1059" s="36"/>
      <c r="AT1059" s="36"/>
      <c r="AU1059" s="36"/>
      <c r="AV1059" s="36"/>
      <c r="AW1059" s="36"/>
      <c r="AX1059" s="36"/>
      <c r="AY1059" s="36"/>
      <c r="AZ1059" s="36"/>
      <c r="BA1059" s="36"/>
      <c r="BB1059" s="36"/>
      <c r="BC1059" s="36"/>
      <c r="BD1059" s="36"/>
      <c r="BE1059" s="36"/>
      <c r="BF1059" s="36"/>
      <c r="BG1059" s="36"/>
      <c r="BH1059" s="36"/>
      <c r="BI1059" s="36"/>
      <c r="BJ1059" s="36"/>
      <c r="BK1059" s="36"/>
      <c r="BL1059" s="36"/>
      <c r="BM1059" s="36"/>
      <c r="BN1059" s="36"/>
      <c r="BO1059" s="36"/>
      <c r="BP1059" s="36"/>
      <c r="BQ1059" s="36"/>
      <c r="BR1059" s="36"/>
      <c r="BS1059" s="36"/>
      <c r="BT1059" s="36"/>
      <c r="BU1059" s="36"/>
      <c r="BV1059" s="36"/>
      <c r="BW1059" s="36"/>
      <c r="BX1059" s="36"/>
      <c r="BY1059" s="36"/>
      <c r="BZ1059" s="36"/>
      <c r="CA1059" s="36"/>
      <c r="CB1059" s="36"/>
      <c r="CC1059" s="36"/>
      <c r="CD1059" s="36"/>
      <c r="CE1059" s="36"/>
      <c r="CF1059" s="36"/>
      <c r="CG1059" s="36"/>
      <c r="CH1059" s="36"/>
      <c r="CI1059" s="36"/>
      <c r="CJ1059" s="36"/>
      <c r="CK1059" s="36"/>
      <c r="CL1059" s="36"/>
      <c r="CM1059" s="36"/>
      <c r="CN1059" s="36"/>
      <c r="CO1059" s="36"/>
      <c r="CP1059" s="36"/>
      <c r="CQ1059" s="36"/>
      <c r="CR1059" s="36"/>
      <c r="CS1059" s="36"/>
      <c r="CT1059" s="36"/>
      <c r="CU1059" s="36"/>
      <c r="CV1059" s="36"/>
      <c r="CW1059" s="36"/>
      <c r="CX1059" s="36"/>
      <c r="CY1059" s="36"/>
      <c r="CZ1059" s="36"/>
      <c r="DA1059" s="36"/>
      <c r="DB1059" s="36"/>
      <c r="DC1059" s="36"/>
      <c r="DD1059" s="36"/>
      <c r="DE1059" s="36"/>
      <c r="DF1059" s="36"/>
      <c r="DG1059" s="36"/>
      <c r="DH1059" s="36"/>
      <c r="DI1059" s="36"/>
      <c r="DJ1059" s="36"/>
      <c r="DK1059" s="36"/>
      <c r="DL1059" s="36"/>
      <c r="DM1059" s="36"/>
      <c r="DN1059" s="36"/>
      <c r="DO1059" s="36"/>
      <c r="DP1059" s="36"/>
      <c r="DQ1059" s="36"/>
      <c r="DR1059" s="36"/>
      <c r="DS1059" s="36"/>
      <c r="DT1059" s="36"/>
      <c r="DU1059" s="36"/>
      <c r="DV1059" s="36"/>
      <c r="DW1059" s="36"/>
      <c r="DX1059" s="36"/>
      <c r="DY1059" s="36"/>
      <c r="DZ1059" s="36"/>
      <c r="EA1059" s="36"/>
      <c r="EB1059" s="36"/>
      <c r="EC1059" s="36"/>
      <c r="ED1059" s="36"/>
      <c r="EE1059" s="36"/>
      <c r="EF1059" s="36"/>
      <c r="EG1059" s="36"/>
      <c r="EH1059" s="36"/>
      <c r="EI1059" s="36"/>
      <c r="EJ1059" s="36"/>
      <c r="EK1059" s="36"/>
      <c r="EL1059" s="36"/>
      <c r="EM1059" s="36"/>
      <c r="EN1059" s="36"/>
      <c r="EO1059" s="36"/>
      <c r="EP1059" s="36"/>
      <c r="EQ1059" s="36"/>
      <c r="ER1059" s="36"/>
      <c r="ES1059" s="36"/>
      <c r="ET1059" s="36"/>
      <c r="EU1059" s="36"/>
      <c r="EV1059" s="36"/>
      <c r="EW1059" s="36"/>
      <c r="EX1059" s="36"/>
      <c r="EY1059" s="36"/>
      <c r="EZ1059" s="36"/>
      <c r="FA1059" s="36"/>
      <c r="FB1059" s="36"/>
      <c r="FC1059" s="36"/>
      <c r="FD1059" s="36"/>
      <c r="FE1059" s="36"/>
      <c r="FF1059" s="36"/>
      <c r="FG1059" s="36"/>
      <c r="FH1059" s="36"/>
      <c r="FI1059" s="36"/>
      <c r="FJ1059" s="36"/>
      <c r="FK1059" s="36"/>
      <c r="FL1059" s="36"/>
      <c r="FM1059" s="36"/>
      <c r="FN1059" s="36"/>
      <c r="FO1059" s="36"/>
      <c r="FP1059" s="36"/>
      <c r="FQ1059" s="36"/>
      <c r="FR1059" s="36"/>
      <c r="FS1059" s="36"/>
      <c r="FT1059" s="36"/>
      <c r="FU1059" s="36"/>
      <c r="FV1059" s="36"/>
      <c r="FW1059" s="36"/>
      <c r="FX1059" s="36"/>
      <c r="FY1059" s="36"/>
      <c r="FZ1059" s="36"/>
      <c r="GA1059" s="36"/>
      <c r="GB1059" s="36"/>
      <c r="GC1059" s="36"/>
      <c r="GD1059" s="36"/>
      <c r="GE1059" s="36"/>
      <c r="GF1059" s="36"/>
      <c r="GG1059" s="36"/>
      <c r="GH1059" s="36"/>
      <c r="GI1059" s="36"/>
      <c r="GJ1059" s="36"/>
      <c r="GK1059" s="36"/>
      <c r="GL1059" s="36"/>
      <c r="GM1059" s="36"/>
      <c r="GN1059" s="36"/>
      <c r="GO1059" s="36"/>
      <c r="GP1059" s="36"/>
      <c r="GQ1059" s="36"/>
      <c r="GR1059" s="36"/>
      <c r="GS1059" s="36"/>
      <c r="GT1059" s="36"/>
      <c r="GU1059" s="36"/>
      <c r="GV1059" s="36"/>
      <c r="GW1059" s="36"/>
      <c r="GX1059" s="36"/>
      <c r="GY1059" s="36"/>
      <c r="GZ1059" s="36"/>
      <c r="HA1059" s="36"/>
      <c r="HB1059" s="36"/>
      <c r="HC1059" s="36"/>
      <c r="HD1059" s="36"/>
      <c r="HE1059" s="36"/>
      <c r="HF1059" s="36"/>
      <c r="HG1059" s="36"/>
      <c r="HH1059" s="36"/>
      <c r="HI1059" s="36"/>
      <c r="HJ1059" s="36"/>
      <c r="HK1059" s="36"/>
      <c r="HL1059" s="36"/>
      <c r="HM1059" s="36"/>
      <c r="HN1059" s="36"/>
      <c r="HO1059" s="36"/>
      <c r="HP1059" s="36"/>
      <c r="HQ1059" s="36"/>
      <c r="HR1059" s="36"/>
      <c r="HS1059" s="36"/>
      <c r="HT1059" s="36"/>
      <c r="HU1059" s="36"/>
      <c r="HV1059" s="36"/>
      <c r="HW1059" s="36"/>
      <c r="HX1059" s="36"/>
      <c r="HY1059" s="36"/>
      <c r="HZ1059" s="36"/>
      <c r="IA1059" s="36"/>
      <c r="IB1059" s="36"/>
      <c r="IC1059" s="36"/>
      <c r="ID1059" s="36"/>
      <c r="IE1059" s="36"/>
      <c r="IF1059" s="36"/>
      <c r="IG1059" s="36"/>
      <c r="IH1059" s="36"/>
      <c r="II1059" s="36"/>
      <c r="IJ1059" s="36"/>
      <c r="IK1059" s="36"/>
      <c r="IL1059" s="36"/>
      <c r="IM1059" s="36"/>
      <c r="IN1059" s="36"/>
      <c r="IO1059" s="36"/>
      <c r="IP1059" s="36"/>
      <c r="IQ1059" s="36"/>
      <c r="IR1059" s="36"/>
    </row>
    <row r="1060" spans="1:252" s="31" customFormat="1" x14ac:dyDescent="0.25">
      <c r="A1060" s="1"/>
      <c r="B1060" s="30"/>
      <c r="D1060" s="32"/>
      <c r="E1060" s="33"/>
      <c r="F1060" s="33"/>
      <c r="G1060" s="33"/>
      <c r="H1060" s="33"/>
      <c r="I1060" s="33"/>
      <c r="J1060" s="33"/>
      <c r="K1060" s="33"/>
      <c r="M1060" s="32"/>
      <c r="N1060" s="32"/>
      <c r="O1060" s="32"/>
      <c r="AD1060" s="33"/>
      <c r="AE1060" s="33"/>
      <c r="AF1060" s="33"/>
      <c r="AG1060" s="33"/>
      <c r="AH1060" s="33"/>
      <c r="AJ1060" s="34"/>
      <c r="AL1060" s="35"/>
      <c r="AM1060" s="36"/>
      <c r="AN1060" s="36"/>
      <c r="AO1060" s="36"/>
      <c r="AP1060" s="36"/>
      <c r="AQ1060" s="36"/>
      <c r="AR1060" s="36"/>
      <c r="AS1060" s="36"/>
      <c r="AT1060" s="36"/>
      <c r="AU1060" s="36"/>
      <c r="AV1060" s="36"/>
      <c r="AW1060" s="36"/>
      <c r="AX1060" s="36"/>
      <c r="AY1060" s="36"/>
      <c r="AZ1060" s="36"/>
      <c r="BA1060" s="36"/>
      <c r="BB1060" s="36"/>
      <c r="BC1060" s="36"/>
      <c r="BD1060" s="36"/>
      <c r="BE1060" s="36"/>
      <c r="BF1060" s="36"/>
      <c r="BG1060" s="36"/>
      <c r="BH1060" s="36"/>
      <c r="BI1060" s="36"/>
      <c r="BJ1060" s="36"/>
      <c r="BK1060" s="36"/>
      <c r="BL1060" s="36"/>
      <c r="BM1060" s="36"/>
      <c r="BN1060" s="36"/>
      <c r="BO1060" s="36"/>
      <c r="BP1060" s="36"/>
      <c r="BQ1060" s="36"/>
      <c r="BR1060" s="36"/>
      <c r="BS1060" s="36"/>
      <c r="BT1060" s="36"/>
      <c r="BU1060" s="36"/>
      <c r="BV1060" s="36"/>
      <c r="BW1060" s="36"/>
      <c r="BX1060" s="36"/>
      <c r="BY1060" s="36"/>
      <c r="BZ1060" s="36"/>
      <c r="CA1060" s="36"/>
      <c r="CB1060" s="36"/>
      <c r="CC1060" s="36"/>
      <c r="CD1060" s="36"/>
      <c r="CE1060" s="36"/>
      <c r="CF1060" s="36"/>
      <c r="CG1060" s="36"/>
      <c r="CH1060" s="36"/>
      <c r="CI1060" s="36"/>
      <c r="CJ1060" s="36"/>
      <c r="CK1060" s="36"/>
      <c r="CL1060" s="36"/>
      <c r="CM1060" s="36"/>
      <c r="CN1060" s="36"/>
      <c r="CO1060" s="36"/>
      <c r="CP1060" s="36"/>
      <c r="CQ1060" s="36"/>
      <c r="CR1060" s="36"/>
      <c r="CS1060" s="36"/>
      <c r="CT1060" s="36"/>
      <c r="CU1060" s="36"/>
      <c r="CV1060" s="36"/>
      <c r="CW1060" s="36"/>
      <c r="CX1060" s="36"/>
      <c r="CY1060" s="36"/>
      <c r="CZ1060" s="36"/>
      <c r="DA1060" s="36"/>
      <c r="DB1060" s="36"/>
      <c r="DC1060" s="36"/>
      <c r="DD1060" s="36"/>
      <c r="DE1060" s="36"/>
      <c r="DF1060" s="36"/>
      <c r="DG1060" s="36"/>
      <c r="DH1060" s="36"/>
      <c r="DI1060" s="36"/>
      <c r="DJ1060" s="36"/>
      <c r="DK1060" s="36"/>
      <c r="DL1060" s="36"/>
      <c r="DM1060" s="36"/>
      <c r="DN1060" s="36"/>
      <c r="DO1060" s="36"/>
      <c r="DP1060" s="36"/>
      <c r="DQ1060" s="36"/>
      <c r="DR1060" s="36"/>
      <c r="DS1060" s="36"/>
      <c r="DT1060" s="36"/>
      <c r="DU1060" s="36"/>
      <c r="DV1060" s="36"/>
      <c r="DW1060" s="36"/>
      <c r="DX1060" s="36"/>
      <c r="DY1060" s="36"/>
      <c r="DZ1060" s="36"/>
      <c r="EA1060" s="36"/>
      <c r="EB1060" s="36"/>
      <c r="EC1060" s="36"/>
      <c r="ED1060" s="36"/>
      <c r="EE1060" s="36"/>
      <c r="EF1060" s="36"/>
      <c r="EG1060" s="36"/>
      <c r="EH1060" s="36"/>
      <c r="EI1060" s="36"/>
      <c r="EJ1060" s="36"/>
      <c r="EK1060" s="36"/>
      <c r="EL1060" s="36"/>
      <c r="EM1060" s="36"/>
      <c r="EN1060" s="36"/>
      <c r="EO1060" s="36"/>
      <c r="EP1060" s="36"/>
      <c r="EQ1060" s="36"/>
      <c r="ER1060" s="36"/>
      <c r="ES1060" s="36"/>
      <c r="ET1060" s="36"/>
      <c r="EU1060" s="36"/>
      <c r="EV1060" s="36"/>
      <c r="EW1060" s="36"/>
      <c r="EX1060" s="36"/>
      <c r="EY1060" s="36"/>
      <c r="EZ1060" s="36"/>
      <c r="FA1060" s="36"/>
      <c r="FB1060" s="36"/>
      <c r="FC1060" s="36"/>
      <c r="FD1060" s="36"/>
      <c r="FE1060" s="36"/>
      <c r="FF1060" s="36"/>
      <c r="FG1060" s="36"/>
      <c r="FH1060" s="36"/>
      <c r="FI1060" s="36"/>
      <c r="FJ1060" s="36"/>
      <c r="FK1060" s="36"/>
      <c r="FL1060" s="36"/>
      <c r="FM1060" s="36"/>
      <c r="FN1060" s="36"/>
      <c r="FO1060" s="36"/>
      <c r="FP1060" s="36"/>
      <c r="FQ1060" s="36"/>
      <c r="FR1060" s="36"/>
      <c r="FS1060" s="36"/>
      <c r="FT1060" s="36"/>
      <c r="FU1060" s="36"/>
      <c r="FV1060" s="36"/>
      <c r="FW1060" s="36"/>
      <c r="FX1060" s="36"/>
      <c r="FY1060" s="36"/>
      <c r="FZ1060" s="36"/>
      <c r="GA1060" s="36"/>
      <c r="GB1060" s="36"/>
      <c r="GC1060" s="36"/>
      <c r="GD1060" s="36"/>
      <c r="GE1060" s="36"/>
      <c r="GF1060" s="36"/>
      <c r="GG1060" s="36"/>
      <c r="GH1060" s="36"/>
      <c r="GI1060" s="36"/>
      <c r="GJ1060" s="36"/>
      <c r="GK1060" s="36"/>
      <c r="GL1060" s="36"/>
      <c r="GM1060" s="36"/>
      <c r="GN1060" s="36"/>
      <c r="GO1060" s="36"/>
      <c r="GP1060" s="36"/>
      <c r="GQ1060" s="36"/>
      <c r="GR1060" s="36"/>
      <c r="GS1060" s="36"/>
      <c r="GT1060" s="36"/>
      <c r="GU1060" s="36"/>
      <c r="GV1060" s="36"/>
      <c r="GW1060" s="36"/>
      <c r="GX1060" s="36"/>
      <c r="GY1060" s="36"/>
      <c r="GZ1060" s="36"/>
      <c r="HA1060" s="36"/>
      <c r="HB1060" s="36"/>
      <c r="HC1060" s="36"/>
      <c r="HD1060" s="36"/>
      <c r="HE1060" s="36"/>
      <c r="HF1060" s="36"/>
      <c r="HG1060" s="36"/>
      <c r="HH1060" s="36"/>
      <c r="HI1060" s="36"/>
      <c r="HJ1060" s="36"/>
      <c r="HK1060" s="36"/>
      <c r="HL1060" s="36"/>
      <c r="HM1060" s="36"/>
      <c r="HN1060" s="36"/>
      <c r="HO1060" s="36"/>
      <c r="HP1060" s="36"/>
      <c r="HQ1060" s="36"/>
      <c r="HR1060" s="36"/>
      <c r="HS1060" s="36"/>
      <c r="HT1060" s="36"/>
      <c r="HU1060" s="36"/>
      <c r="HV1060" s="36"/>
      <c r="HW1060" s="36"/>
      <c r="HX1060" s="36"/>
      <c r="HY1060" s="36"/>
      <c r="HZ1060" s="36"/>
      <c r="IA1060" s="36"/>
      <c r="IB1060" s="36"/>
      <c r="IC1060" s="36"/>
      <c r="ID1060" s="36"/>
      <c r="IE1060" s="36"/>
      <c r="IF1060" s="36"/>
      <c r="IG1060" s="36"/>
      <c r="IH1060" s="36"/>
      <c r="II1060" s="36"/>
      <c r="IJ1060" s="36"/>
      <c r="IK1060" s="36"/>
      <c r="IL1060" s="36"/>
      <c r="IM1060" s="36"/>
      <c r="IN1060" s="36"/>
      <c r="IO1060" s="36"/>
      <c r="IP1060" s="36"/>
      <c r="IQ1060" s="36"/>
      <c r="IR1060" s="36"/>
    </row>
    <row r="1061" spans="1:252" s="31" customFormat="1" x14ac:dyDescent="0.25">
      <c r="A1061" s="1"/>
      <c r="B1061" s="30"/>
      <c r="D1061" s="32"/>
      <c r="E1061" s="33"/>
      <c r="F1061" s="33"/>
      <c r="G1061" s="33"/>
      <c r="H1061" s="33"/>
      <c r="I1061" s="33"/>
      <c r="J1061" s="33"/>
      <c r="K1061" s="33"/>
      <c r="M1061" s="32"/>
      <c r="N1061" s="32"/>
      <c r="O1061" s="32"/>
      <c r="AD1061" s="33"/>
      <c r="AE1061" s="33"/>
      <c r="AF1061" s="33"/>
      <c r="AG1061" s="33"/>
      <c r="AH1061" s="33"/>
      <c r="AJ1061" s="34"/>
      <c r="AL1061" s="35"/>
      <c r="AM1061" s="36"/>
      <c r="AN1061" s="36"/>
      <c r="AO1061" s="36"/>
      <c r="AP1061" s="36"/>
      <c r="AQ1061" s="36"/>
      <c r="AR1061" s="36"/>
      <c r="AS1061" s="36"/>
      <c r="AT1061" s="36"/>
      <c r="AU1061" s="36"/>
      <c r="AV1061" s="36"/>
      <c r="AW1061" s="36"/>
      <c r="AX1061" s="36"/>
      <c r="AY1061" s="36"/>
      <c r="AZ1061" s="36"/>
      <c r="BA1061" s="36"/>
      <c r="BB1061" s="36"/>
      <c r="BC1061" s="36"/>
      <c r="BD1061" s="36"/>
      <c r="BE1061" s="36"/>
      <c r="BF1061" s="36"/>
      <c r="BG1061" s="36"/>
      <c r="BH1061" s="36"/>
      <c r="BI1061" s="36"/>
      <c r="BJ1061" s="36"/>
      <c r="BK1061" s="36"/>
      <c r="BL1061" s="36"/>
      <c r="BM1061" s="36"/>
      <c r="BN1061" s="36"/>
      <c r="BO1061" s="36"/>
      <c r="BP1061" s="36"/>
      <c r="BQ1061" s="36"/>
      <c r="BR1061" s="36"/>
      <c r="BS1061" s="36"/>
      <c r="BT1061" s="36"/>
      <c r="BU1061" s="36"/>
      <c r="BV1061" s="36"/>
      <c r="BW1061" s="36"/>
      <c r="BX1061" s="36"/>
      <c r="BY1061" s="36"/>
      <c r="BZ1061" s="36"/>
      <c r="CA1061" s="36"/>
      <c r="CB1061" s="36"/>
      <c r="CC1061" s="36"/>
      <c r="CD1061" s="36"/>
      <c r="CE1061" s="36"/>
      <c r="CF1061" s="36"/>
      <c r="CG1061" s="36"/>
      <c r="CH1061" s="36"/>
      <c r="CI1061" s="36"/>
      <c r="CJ1061" s="36"/>
      <c r="CK1061" s="36"/>
      <c r="CL1061" s="36"/>
      <c r="CM1061" s="36"/>
      <c r="CN1061" s="36"/>
      <c r="CO1061" s="36"/>
      <c r="CP1061" s="36"/>
      <c r="CQ1061" s="36"/>
      <c r="CR1061" s="36"/>
      <c r="CS1061" s="36"/>
      <c r="CT1061" s="36"/>
      <c r="CU1061" s="36"/>
      <c r="CV1061" s="36"/>
      <c r="CW1061" s="36"/>
      <c r="CX1061" s="36"/>
      <c r="CY1061" s="36"/>
      <c r="CZ1061" s="36"/>
      <c r="DA1061" s="36"/>
      <c r="DB1061" s="36"/>
      <c r="DC1061" s="36"/>
      <c r="DD1061" s="36"/>
      <c r="DE1061" s="36"/>
      <c r="DF1061" s="36"/>
      <c r="DG1061" s="36"/>
      <c r="DH1061" s="36"/>
      <c r="DI1061" s="36"/>
      <c r="DJ1061" s="36"/>
      <c r="DK1061" s="36"/>
      <c r="DL1061" s="36"/>
      <c r="DM1061" s="36"/>
      <c r="DN1061" s="36"/>
      <c r="DO1061" s="36"/>
      <c r="DP1061" s="36"/>
      <c r="DQ1061" s="36"/>
      <c r="DR1061" s="36"/>
      <c r="DS1061" s="36"/>
      <c r="DT1061" s="36"/>
      <c r="DU1061" s="36"/>
      <c r="DV1061" s="36"/>
      <c r="DW1061" s="36"/>
      <c r="DX1061" s="36"/>
      <c r="DY1061" s="36"/>
      <c r="DZ1061" s="36"/>
      <c r="EA1061" s="36"/>
      <c r="EB1061" s="36"/>
      <c r="EC1061" s="36"/>
      <c r="ED1061" s="36"/>
      <c r="EE1061" s="36"/>
      <c r="EF1061" s="36"/>
      <c r="EG1061" s="36"/>
      <c r="EH1061" s="36"/>
      <c r="EI1061" s="36"/>
      <c r="EJ1061" s="36"/>
      <c r="EK1061" s="36"/>
      <c r="EL1061" s="36"/>
      <c r="EM1061" s="36"/>
      <c r="EN1061" s="36"/>
      <c r="EO1061" s="36"/>
      <c r="EP1061" s="36"/>
      <c r="EQ1061" s="36"/>
      <c r="ER1061" s="36"/>
      <c r="ES1061" s="36"/>
      <c r="ET1061" s="36"/>
      <c r="EU1061" s="36"/>
      <c r="EV1061" s="36"/>
      <c r="EW1061" s="36"/>
      <c r="EX1061" s="36"/>
      <c r="EY1061" s="36"/>
      <c r="EZ1061" s="36"/>
      <c r="FA1061" s="36"/>
      <c r="FB1061" s="36"/>
      <c r="FC1061" s="36"/>
      <c r="FD1061" s="36"/>
      <c r="FE1061" s="36"/>
      <c r="FF1061" s="36"/>
      <c r="FG1061" s="36"/>
      <c r="FH1061" s="36"/>
      <c r="FI1061" s="36"/>
      <c r="FJ1061" s="36"/>
      <c r="FK1061" s="36"/>
      <c r="FL1061" s="36"/>
      <c r="FM1061" s="36"/>
      <c r="FN1061" s="36"/>
      <c r="FO1061" s="36"/>
      <c r="FP1061" s="36"/>
      <c r="FQ1061" s="36"/>
      <c r="FR1061" s="36"/>
      <c r="FS1061" s="36"/>
      <c r="FT1061" s="36"/>
      <c r="FU1061" s="36"/>
      <c r="FV1061" s="36"/>
      <c r="FW1061" s="36"/>
      <c r="FX1061" s="36"/>
      <c r="FY1061" s="36"/>
      <c r="FZ1061" s="36"/>
      <c r="GA1061" s="36"/>
      <c r="GB1061" s="36"/>
      <c r="GC1061" s="36"/>
      <c r="GD1061" s="36"/>
      <c r="GE1061" s="36"/>
      <c r="GF1061" s="36"/>
      <c r="GG1061" s="36"/>
      <c r="GH1061" s="36"/>
      <c r="GI1061" s="36"/>
      <c r="GJ1061" s="36"/>
      <c r="GK1061" s="36"/>
      <c r="GL1061" s="36"/>
      <c r="GM1061" s="36"/>
      <c r="GN1061" s="36"/>
      <c r="GO1061" s="36"/>
      <c r="GP1061" s="36"/>
      <c r="GQ1061" s="36"/>
      <c r="GR1061" s="36"/>
      <c r="GS1061" s="36"/>
      <c r="GT1061" s="36"/>
      <c r="GU1061" s="36"/>
      <c r="GV1061" s="36"/>
      <c r="GW1061" s="36"/>
      <c r="GX1061" s="36"/>
      <c r="GY1061" s="36"/>
      <c r="GZ1061" s="36"/>
      <c r="HA1061" s="36"/>
      <c r="HB1061" s="36"/>
      <c r="HC1061" s="36"/>
      <c r="HD1061" s="36"/>
      <c r="HE1061" s="36"/>
      <c r="HF1061" s="36"/>
      <c r="HG1061" s="36"/>
      <c r="HH1061" s="36"/>
      <c r="HI1061" s="36"/>
      <c r="HJ1061" s="36"/>
      <c r="HK1061" s="36"/>
      <c r="HL1061" s="36"/>
      <c r="HM1061" s="36"/>
      <c r="HN1061" s="36"/>
      <c r="HO1061" s="36"/>
      <c r="HP1061" s="36"/>
      <c r="HQ1061" s="36"/>
      <c r="HR1061" s="36"/>
      <c r="HS1061" s="36"/>
      <c r="HT1061" s="36"/>
      <c r="HU1061" s="36"/>
      <c r="HV1061" s="36"/>
      <c r="HW1061" s="36"/>
      <c r="HX1061" s="36"/>
      <c r="HY1061" s="36"/>
      <c r="HZ1061" s="36"/>
      <c r="IA1061" s="36"/>
      <c r="IB1061" s="36"/>
      <c r="IC1061" s="36"/>
      <c r="ID1061" s="36"/>
      <c r="IE1061" s="36"/>
      <c r="IF1061" s="36"/>
      <c r="IG1061" s="36"/>
      <c r="IH1061" s="36"/>
      <c r="II1061" s="36"/>
      <c r="IJ1061" s="36"/>
      <c r="IK1061" s="36"/>
      <c r="IL1061" s="36"/>
      <c r="IM1061" s="36"/>
      <c r="IN1061" s="36"/>
      <c r="IO1061" s="36"/>
      <c r="IP1061" s="36"/>
      <c r="IQ1061" s="36"/>
      <c r="IR1061" s="36"/>
    </row>
    <row r="1062" spans="1:252" s="31" customFormat="1" x14ac:dyDescent="0.25">
      <c r="A1062" s="1"/>
      <c r="B1062" s="30"/>
      <c r="D1062" s="32"/>
      <c r="E1062" s="33"/>
      <c r="F1062" s="33"/>
      <c r="G1062" s="33"/>
      <c r="H1062" s="33"/>
      <c r="I1062" s="33"/>
      <c r="J1062" s="33"/>
      <c r="K1062" s="33"/>
      <c r="M1062" s="32"/>
      <c r="N1062" s="32"/>
      <c r="O1062" s="32"/>
      <c r="AD1062" s="33"/>
      <c r="AE1062" s="33"/>
      <c r="AF1062" s="33"/>
      <c r="AG1062" s="33"/>
      <c r="AH1062" s="33"/>
      <c r="AJ1062" s="34"/>
      <c r="AL1062" s="35"/>
      <c r="AM1062" s="36"/>
      <c r="AN1062" s="36"/>
      <c r="AO1062" s="36"/>
      <c r="AP1062" s="36"/>
      <c r="AQ1062" s="36"/>
      <c r="AR1062" s="36"/>
      <c r="AS1062" s="36"/>
      <c r="AT1062" s="36"/>
      <c r="AU1062" s="36"/>
      <c r="AV1062" s="36"/>
      <c r="AW1062" s="36"/>
      <c r="AX1062" s="36"/>
      <c r="AY1062" s="36"/>
      <c r="AZ1062" s="36"/>
      <c r="BA1062" s="36"/>
      <c r="BB1062" s="36"/>
      <c r="BC1062" s="36"/>
      <c r="BD1062" s="36"/>
      <c r="BE1062" s="36"/>
      <c r="BF1062" s="36"/>
      <c r="BG1062" s="36"/>
      <c r="BH1062" s="36"/>
      <c r="BI1062" s="36"/>
      <c r="BJ1062" s="36"/>
      <c r="BK1062" s="36"/>
      <c r="BL1062" s="36"/>
      <c r="BM1062" s="36"/>
      <c r="BN1062" s="36"/>
      <c r="BO1062" s="36"/>
      <c r="BP1062" s="36"/>
      <c r="BQ1062" s="36"/>
      <c r="BR1062" s="36"/>
      <c r="BS1062" s="36"/>
      <c r="BT1062" s="36"/>
      <c r="BU1062" s="36"/>
      <c r="BV1062" s="36"/>
      <c r="BW1062" s="36"/>
      <c r="BX1062" s="36"/>
      <c r="BY1062" s="36"/>
      <c r="BZ1062" s="36"/>
      <c r="CA1062" s="36"/>
      <c r="CB1062" s="36"/>
      <c r="CC1062" s="36"/>
      <c r="CD1062" s="36"/>
      <c r="CE1062" s="36"/>
      <c r="CF1062" s="36"/>
      <c r="CG1062" s="36"/>
      <c r="CH1062" s="36"/>
      <c r="CI1062" s="36"/>
      <c r="CJ1062" s="36"/>
      <c r="CK1062" s="36"/>
      <c r="CL1062" s="36"/>
      <c r="CM1062" s="36"/>
      <c r="CN1062" s="36"/>
      <c r="CO1062" s="36"/>
      <c r="CP1062" s="36"/>
      <c r="CQ1062" s="36"/>
      <c r="CR1062" s="36"/>
      <c r="CS1062" s="36"/>
      <c r="CT1062" s="36"/>
      <c r="CU1062" s="36"/>
      <c r="CV1062" s="36"/>
      <c r="CW1062" s="36"/>
      <c r="CX1062" s="36"/>
      <c r="CY1062" s="36"/>
      <c r="CZ1062" s="36"/>
      <c r="DA1062" s="36"/>
      <c r="DB1062" s="36"/>
      <c r="DC1062" s="36"/>
      <c r="DD1062" s="36"/>
      <c r="DE1062" s="36"/>
      <c r="DF1062" s="36"/>
      <c r="DG1062" s="36"/>
      <c r="DH1062" s="36"/>
      <c r="DI1062" s="36"/>
      <c r="DJ1062" s="36"/>
      <c r="DK1062" s="36"/>
      <c r="DL1062" s="36"/>
      <c r="DM1062" s="36"/>
      <c r="DN1062" s="36"/>
      <c r="DO1062" s="36"/>
      <c r="DP1062" s="36"/>
      <c r="DQ1062" s="36"/>
      <c r="DR1062" s="36"/>
      <c r="DS1062" s="36"/>
      <c r="DT1062" s="36"/>
      <c r="DU1062" s="36"/>
      <c r="DV1062" s="36"/>
      <c r="DW1062" s="36"/>
      <c r="DX1062" s="36"/>
      <c r="DY1062" s="36"/>
      <c r="DZ1062" s="36"/>
      <c r="EA1062" s="36"/>
      <c r="EB1062" s="36"/>
      <c r="EC1062" s="36"/>
      <c r="ED1062" s="36"/>
      <c r="EE1062" s="36"/>
      <c r="EF1062" s="36"/>
      <c r="EG1062" s="36"/>
      <c r="EH1062" s="36"/>
      <c r="EI1062" s="36"/>
      <c r="EJ1062" s="36"/>
      <c r="EK1062" s="36"/>
      <c r="EL1062" s="36"/>
      <c r="EM1062" s="36"/>
      <c r="EN1062" s="36"/>
      <c r="EO1062" s="36"/>
      <c r="EP1062" s="36"/>
      <c r="EQ1062" s="36"/>
      <c r="ER1062" s="36"/>
      <c r="ES1062" s="36"/>
      <c r="ET1062" s="36"/>
      <c r="EU1062" s="36"/>
      <c r="EV1062" s="36"/>
      <c r="EW1062" s="36"/>
      <c r="EX1062" s="36"/>
      <c r="EY1062" s="36"/>
      <c r="EZ1062" s="36"/>
      <c r="FA1062" s="36"/>
      <c r="FB1062" s="36"/>
      <c r="FC1062" s="36"/>
      <c r="FD1062" s="36"/>
      <c r="FE1062" s="36"/>
      <c r="FF1062" s="36"/>
      <c r="FG1062" s="36"/>
      <c r="FH1062" s="36"/>
      <c r="FI1062" s="36"/>
      <c r="FJ1062" s="36"/>
      <c r="FK1062" s="36"/>
      <c r="FL1062" s="36"/>
      <c r="FM1062" s="36"/>
      <c r="FN1062" s="36"/>
      <c r="FO1062" s="36"/>
      <c r="FP1062" s="36"/>
      <c r="FQ1062" s="36"/>
      <c r="FR1062" s="36"/>
      <c r="FS1062" s="36"/>
      <c r="FT1062" s="36"/>
      <c r="FU1062" s="36"/>
      <c r="FV1062" s="36"/>
      <c r="FW1062" s="36"/>
      <c r="FX1062" s="36"/>
      <c r="FY1062" s="36"/>
      <c r="FZ1062" s="36"/>
      <c r="GA1062" s="36"/>
      <c r="GB1062" s="36"/>
      <c r="GC1062" s="36"/>
      <c r="GD1062" s="36"/>
      <c r="GE1062" s="36"/>
      <c r="GF1062" s="36"/>
      <c r="GG1062" s="36"/>
      <c r="GH1062" s="36"/>
      <c r="GI1062" s="36"/>
      <c r="GJ1062" s="36"/>
      <c r="GK1062" s="36"/>
      <c r="GL1062" s="36"/>
      <c r="GM1062" s="36"/>
      <c r="GN1062" s="36"/>
      <c r="GO1062" s="36"/>
      <c r="GP1062" s="36"/>
      <c r="GQ1062" s="36"/>
      <c r="GR1062" s="36"/>
      <c r="GS1062" s="36"/>
      <c r="GT1062" s="36"/>
      <c r="GU1062" s="36"/>
      <c r="GV1062" s="36"/>
      <c r="GW1062" s="36"/>
      <c r="GX1062" s="36"/>
      <c r="GY1062" s="36"/>
      <c r="GZ1062" s="36"/>
      <c r="HA1062" s="36"/>
      <c r="HB1062" s="36"/>
      <c r="HC1062" s="36"/>
      <c r="HD1062" s="36"/>
      <c r="HE1062" s="36"/>
      <c r="HF1062" s="36"/>
      <c r="HG1062" s="36"/>
      <c r="HH1062" s="36"/>
      <c r="HI1062" s="36"/>
      <c r="HJ1062" s="36"/>
      <c r="HK1062" s="36"/>
      <c r="HL1062" s="36"/>
      <c r="HM1062" s="36"/>
      <c r="HN1062" s="36"/>
      <c r="HO1062" s="36"/>
      <c r="HP1062" s="36"/>
      <c r="HQ1062" s="36"/>
      <c r="HR1062" s="36"/>
      <c r="HS1062" s="36"/>
      <c r="HT1062" s="36"/>
      <c r="HU1062" s="36"/>
      <c r="HV1062" s="36"/>
      <c r="HW1062" s="36"/>
      <c r="HX1062" s="36"/>
      <c r="HY1062" s="36"/>
      <c r="HZ1062" s="36"/>
      <c r="IA1062" s="36"/>
      <c r="IB1062" s="36"/>
      <c r="IC1062" s="36"/>
      <c r="ID1062" s="36"/>
      <c r="IE1062" s="36"/>
      <c r="IF1062" s="36"/>
      <c r="IG1062" s="36"/>
      <c r="IH1062" s="36"/>
      <c r="II1062" s="36"/>
      <c r="IJ1062" s="36"/>
      <c r="IK1062" s="36"/>
      <c r="IL1062" s="36"/>
      <c r="IM1062" s="36"/>
      <c r="IN1062" s="36"/>
      <c r="IO1062" s="36"/>
      <c r="IP1062" s="36"/>
      <c r="IQ1062" s="36"/>
      <c r="IR1062" s="36"/>
    </row>
    <row r="1063" spans="1:252" s="31" customFormat="1" x14ac:dyDescent="0.25">
      <c r="A1063" s="1"/>
      <c r="B1063" s="30"/>
      <c r="D1063" s="32"/>
      <c r="E1063" s="33"/>
      <c r="F1063" s="33"/>
      <c r="G1063" s="33"/>
      <c r="H1063" s="33"/>
      <c r="I1063" s="33"/>
      <c r="J1063" s="33"/>
      <c r="K1063" s="33"/>
      <c r="M1063" s="32"/>
      <c r="N1063" s="32"/>
      <c r="O1063" s="32"/>
      <c r="AD1063" s="33"/>
      <c r="AE1063" s="33"/>
      <c r="AF1063" s="33"/>
      <c r="AG1063" s="33"/>
      <c r="AH1063" s="33"/>
      <c r="AJ1063" s="34"/>
      <c r="AL1063" s="35"/>
      <c r="AM1063" s="36"/>
      <c r="AN1063" s="36"/>
      <c r="AO1063" s="36"/>
      <c r="AP1063" s="36"/>
      <c r="AQ1063" s="36"/>
      <c r="AR1063" s="36"/>
      <c r="AS1063" s="36"/>
      <c r="AT1063" s="36"/>
      <c r="AU1063" s="36"/>
      <c r="AV1063" s="36"/>
      <c r="AW1063" s="36"/>
      <c r="AX1063" s="36"/>
      <c r="AY1063" s="36"/>
      <c r="AZ1063" s="36"/>
      <c r="BA1063" s="36"/>
      <c r="BB1063" s="36"/>
      <c r="BC1063" s="36"/>
      <c r="BD1063" s="36"/>
      <c r="BE1063" s="36"/>
      <c r="BF1063" s="36"/>
      <c r="BG1063" s="36"/>
      <c r="BH1063" s="36"/>
      <c r="BI1063" s="36"/>
      <c r="BJ1063" s="36"/>
      <c r="BK1063" s="36"/>
      <c r="BL1063" s="36"/>
      <c r="BM1063" s="36"/>
      <c r="BN1063" s="36"/>
      <c r="BO1063" s="36"/>
      <c r="BP1063" s="36"/>
      <c r="BQ1063" s="36"/>
      <c r="BR1063" s="36"/>
      <c r="BS1063" s="36"/>
      <c r="BT1063" s="36"/>
      <c r="BU1063" s="36"/>
      <c r="BV1063" s="36"/>
      <c r="BW1063" s="36"/>
      <c r="BX1063" s="36"/>
      <c r="BY1063" s="36"/>
      <c r="BZ1063" s="36"/>
      <c r="CA1063" s="36"/>
      <c r="CB1063" s="36"/>
      <c r="CC1063" s="36"/>
      <c r="CD1063" s="36"/>
      <c r="CE1063" s="36"/>
      <c r="CF1063" s="36"/>
      <c r="CG1063" s="36"/>
      <c r="CH1063" s="36"/>
      <c r="CI1063" s="36"/>
      <c r="CJ1063" s="36"/>
      <c r="CK1063" s="36"/>
      <c r="CL1063" s="36"/>
      <c r="CM1063" s="36"/>
      <c r="CN1063" s="36"/>
      <c r="CO1063" s="36"/>
      <c r="CP1063" s="36"/>
      <c r="CQ1063" s="36"/>
      <c r="CR1063" s="36"/>
      <c r="CS1063" s="36"/>
      <c r="CT1063" s="36"/>
      <c r="CU1063" s="36"/>
      <c r="CV1063" s="36"/>
      <c r="CW1063" s="36"/>
      <c r="CX1063" s="36"/>
      <c r="CY1063" s="36"/>
      <c r="CZ1063" s="36"/>
      <c r="DA1063" s="36"/>
      <c r="DB1063" s="36"/>
      <c r="DC1063" s="36"/>
      <c r="DD1063" s="36"/>
      <c r="DE1063" s="36"/>
      <c r="DF1063" s="36"/>
      <c r="DG1063" s="36"/>
      <c r="DH1063" s="36"/>
      <c r="DI1063" s="36"/>
      <c r="DJ1063" s="36"/>
      <c r="DK1063" s="36"/>
      <c r="DL1063" s="36"/>
      <c r="DM1063" s="36"/>
      <c r="DN1063" s="36"/>
      <c r="DO1063" s="36"/>
      <c r="DP1063" s="36"/>
      <c r="DQ1063" s="36"/>
      <c r="DR1063" s="36"/>
      <c r="DS1063" s="36"/>
      <c r="DT1063" s="36"/>
      <c r="DU1063" s="36"/>
      <c r="DV1063" s="36"/>
      <c r="DW1063" s="36"/>
      <c r="DX1063" s="36"/>
      <c r="DY1063" s="36"/>
      <c r="DZ1063" s="36"/>
      <c r="EA1063" s="36"/>
      <c r="EB1063" s="36"/>
      <c r="EC1063" s="36"/>
      <c r="ED1063" s="36"/>
      <c r="EE1063" s="36"/>
      <c r="EF1063" s="36"/>
      <c r="EG1063" s="36"/>
      <c r="EH1063" s="36"/>
      <c r="EI1063" s="36"/>
      <c r="EJ1063" s="36"/>
      <c r="EK1063" s="36"/>
      <c r="EL1063" s="36"/>
      <c r="EM1063" s="36"/>
      <c r="EN1063" s="36"/>
      <c r="EO1063" s="36"/>
      <c r="EP1063" s="36"/>
      <c r="EQ1063" s="36"/>
      <c r="ER1063" s="36"/>
      <c r="ES1063" s="36"/>
      <c r="ET1063" s="36"/>
      <c r="EU1063" s="36"/>
      <c r="EV1063" s="36"/>
      <c r="EW1063" s="36"/>
      <c r="EX1063" s="36"/>
      <c r="EY1063" s="36"/>
      <c r="EZ1063" s="36"/>
      <c r="FA1063" s="36"/>
      <c r="FB1063" s="36"/>
      <c r="FC1063" s="36"/>
      <c r="FD1063" s="36"/>
      <c r="FE1063" s="36"/>
      <c r="FF1063" s="36"/>
      <c r="FG1063" s="36"/>
      <c r="FH1063" s="36"/>
      <c r="FI1063" s="36"/>
      <c r="FJ1063" s="36"/>
      <c r="FK1063" s="36"/>
      <c r="FL1063" s="36"/>
      <c r="FM1063" s="36"/>
      <c r="FN1063" s="36"/>
      <c r="FO1063" s="36"/>
      <c r="FP1063" s="36"/>
      <c r="FQ1063" s="36"/>
      <c r="FR1063" s="36"/>
      <c r="FS1063" s="36"/>
      <c r="FT1063" s="36"/>
      <c r="FU1063" s="36"/>
      <c r="FV1063" s="36"/>
      <c r="FW1063" s="36"/>
      <c r="FX1063" s="36"/>
      <c r="FY1063" s="36"/>
      <c r="FZ1063" s="36"/>
      <c r="GA1063" s="36"/>
      <c r="GB1063" s="36"/>
      <c r="GC1063" s="36"/>
      <c r="GD1063" s="36"/>
      <c r="GE1063" s="36"/>
      <c r="GF1063" s="36"/>
      <c r="GG1063" s="36"/>
      <c r="GH1063" s="36"/>
      <c r="GI1063" s="36"/>
      <c r="GJ1063" s="36"/>
      <c r="GK1063" s="36"/>
      <c r="GL1063" s="36"/>
      <c r="GM1063" s="36"/>
      <c r="GN1063" s="36"/>
      <c r="GO1063" s="36"/>
      <c r="GP1063" s="36"/>
      <c r="GQ1063" s="36"/>
      <c r="GR1063" s="36"/>
      <c r="GS1063" s="36"/>
      <c r="GT1063" s="36"/>
      <c r="GU1063" s="36"/>
      <c r="GV1063" s="36"/>
      <c r="GW1063" s="36"/>
      <c r="GX1063" s="36"/>
      <c r="GY1063" s="36"/>
      <c r="GZ1063" s="36"/>
      <c r="HA1063" s="36"/>
      <c r="HB1063" s="36"/>
      <c r="HC1063" s="36"/>
      <c r="HD1063" s="36"/>
      <c r="HE1063" s="36"/>
      <c r="HF1063" s="36"/>
      <c r="HG1063" s="36"/>
      <c r="HH1063" s="36"/>
      <c r="HI1063" s="36"/>
      <c r="HJ1063" s="36"/>
      <c r="HK1063" s="36"/>
      <c r="HL1063" s="36"/>
      <c r="HM1063" s="36"/>
      <c r="HN1063" s="36"/>
      <c r="HO1063" s="36"/>
      <c r="HP1063" s="36"/>
      <c r="HQ1063" s="36"/>
      <c r="HR1063" s="36"/>
      <c r="HS1063" s="36"/>
      <c r="HT1063" s="36"/>
      <c r="HU1063" s="36"/>
      <c r="HV1063" s="36"/>
      <c r="HW1063" s="36"/>
      <c r="HX1063" s="36"/>
      <c r="HY1063" s="36"/>
      <c r="HZ1063" s="36"/>
      <c r="IA1063" s="36"/>
      <c r="IB1063" s="36"/>
      <c r="IC1063" s="36"/>
      <c r="ID1063" s="36"/>
      <c r="IE1063" s="36"/>
      <c r="IF1063" s="36"/>
      <c r="IG1063" s="36"/>
      <c r="IH1063" s="36"/>
      <c r="II1063" s="36"/>
      <c r="IJ1063" s="36"/>
      <c r="IK1063" s="36"/>
      <c r="IL1063" s="36"/>
      <c r="IM1063" s="36"/>
      <c r="IN1063" s="36"/>
      <c r="IO1063" s="36"/>
      <c r="IP1063" s="36"/>
      <c r="IQ1063" s="36"/>
      <c r="IR1063" s="36"/>
    </row>
    <row r="1064" spans="1:252" s="31" customFormat="1" x14ac:dyDescent="0.25">
      <c r="A1064" s="1"/>
      <c r="B1064" s="30"/>
      <c r="D1064" s="32"/>
      <c r="E1064" s="33"/>
      <c r="F1064" s="33"/>
      <c r="G1064" s="33"/>
      <c r="H1064" s="33"/>
      <c r="I1064" s="33"/>
      <c r="J1064" s="33"/>
      <c r="K1064" s="33"/>
      <c r="M1064" s="32"/>
      <c r="N1064" s="32"/>
      <c r="O1064" s="32"/>
      <c r="AD1064" s="33"/>
      <c r="AE1064" s="33"/>
      <c r="AF1064" s="33"/>
      <c r="AG1064" s="33"/>
      <c r="AH1064" s="33"/>
      <c r="AJ1064" s="34"/>
      <c r="AL1064" s="35"/>
      <c r="AM1064" s="36"/>
      <c r="AN1064" s="36"/>
      <c r="AO1064" s="36"/>
      <c r="AP1064" s="36"/>
      <c r="AQ1064" s="36"/>
      <c r="AR1064" s="36"/>
      <c r="AS1064" s="36"/>
      <c r="AT1064" s="36"/>
      <c r="AU1064" s="36"/>
      <c r="AV1064" s="36"/>
      <c r="AW1064" s="36"/>
      <c r="AX1064" s="36"/>
      <c r="AY1064" s="36"/>
      <c r="AZ1064" s="36"/>
      <c r="BA1064" s="36"/>
      <c r="BB1064" s="36"/>
      <c r="BC1064" s="36"/>
      <c r="BD1064" s="36"/>
      <c r="BE1064" s="36"/>
      <c r="BF1064" s="36"/>
      <c r="BG1064" s="36"/>
      <c r="BH1064" s="36"/>
      <c r="BI1064" s="36"/>
      <c r="BJ1064" s="36"/>
      <c r="BK1064" s="36"/>
      <c r="BL1064" s="36"/>
      <c r="BM1064" s="36"/>
      <c r="BN1064" s="36"/>
      <c r="BO1064" s="36"/>
      <c r="BP1064" s="36"/>
      <c r="BQ1064" s="36"/>
      <c r="BR1064" s="36"/>
      <c r="BS1064" s="36"/>
      <c r="BT1064" s="36"/>
      <c r="BU1064" s="36"/>
      <c r="BV1064" s="36"/>
      <c r="BW1064" s="36"/>
      <c r="BX1064" s="36"/>
      <c r="BY1064" s="36"/>
      <c r="BZ1064" s="36"/>
      <c r="CA1064" s="36"/>
      <c r="CB1064" s="36"/>
      <c r="CC1064" s="36"/>
      <c r="CD1064" s="36"/>
      <c r="CE1064" s="36"/>
      <c r="CF1064" s="36"/>
      <c r="CG1064" s="36"/>
      <c r="CH1064" s="36"/>
      <c r="CI1064" s="36"/>
      <c r="CJ1064" s="36"/>
      <c r="CK1064" s="36"/>
      <c r="CL1064" s="36"/>
      <c r="CM1064" s="36"/>
      <c r="CN1064" s="36"/>
      <c r="CO1064" s="36"/>
      <c r="CP1064" s="36"/>
      <c r="CQ1064" s="36"/>
      <c r="CR1064" s="36"/>
      <c r="CS1064" s="36"/>
      <c r="CT1064" s="36"/>
      <c r="CU1064" s="36"/>
      <c r="CV1064" s="36"/>
      <c r="CW1064" s="36"/>
      <c r="CX1064" s="36"/>
      <c r="CY1064" s="36"/>
      <c r="CZ1064" s="36"/>
      <c r="DA1064" s="36"/>
      <c r="DB1064" s="36"/>
      <c r="DC1064" s="36"/>
      <c r="DD1064" s="36"/>
      <c r="DE1064" s="36"/>
      <c r="DF1064" s="36"/>
      <c r="DG1064" s="36"/>
      <c r="DH1064" s="36"/>
      <c r="DI1064" s="36"/>
      <c r="DJ1064" s="36"/>
      <c r="DK1064" s="36"/>
      <c r="DL1064" s="36"/>
      <c r="DM1064" s="36"/>
      <c r="DN1064" s="36"/>
      <c r="DO1064" s="36"/>
      <c r="DP1064" s="36"/>
      <c r="DQ1064" s="36"/>
      <c r="DR1064" s="36"/>
      <c r="DS1064" s="36"/>
      <c r="DT1064" s="36"/>
      <c r="DU1064" s="36"/>
      <c r="DV1064" s="36"/>
      <c r="DW1064" s="36"/>
      <c r="DX1064" s="36"/>
      <c r="DY1064" s="36"/>
      <c r="DZ1064" s="36"/>
      <c r="EA1064" s="36"/>
      <c r="EB1064" s="36"/>
      <c r="EC1064" s="36"/>
      <c r="ED1064" s="36"/>
      <c r="EE1064" s="36"/>
      <c r="EF1064" s="36"/>
      <c r="EG1064" s="36"/>
      <c r="EH1064" s="36"/>
      <c r="EI1064" s="36"/>
      <c r="EJ1064" s="36"/>
      <c r="EK1064" s="36"/>
      <c r="EL1064" s="36"/>
      <c r="EM1064" s="36"/>
      <c r="EN1064" s="36"/>
      <c r="EO1064" s="36"/>
      <c r="EP1064" s="36"/>
      <c r="EQ1064" s="36"/>
      <c r="ER1064" s="36"/>
      <c r="ES1064" s="36"/>
      <c r="ET1064" s="36"/>
      <c r="EU1064" s="36"/>
      <c r="EV1064" s="36"/>
      <c r="EW1064" s="36"/>
      <c r="EX1064" s="36"/>
      <c r="EY1064" s="36"/>
      <c r="EZ1064" s="36"/>
      <c r="FA1064" s="36"/>
      <c r="FB1064" s="36"/>
      <c r="FC1064" s="36"/>
      <c r="FD1064" s="36"/>
      <c r="FE1064" s="36"/>
      <c r="FF1064" s="36"/>
      <c r="FG1064" s="36"/>
      <c r="FH1064" s="36"/>
      <c r="FI1064" s="36"/>
      <c r="FJ1064" s="36"/>
      <c r="FK1064" s="36"/>
      <c r="FL1064" s="36"/>
      <c r="FM1064" s="36"/>
      <c r="FN1064" s="36"/>
      <c r="FO1064" s="36"/>
      <c r="FP1064" s="36"/>
      <c r="FQ1064" s="36"/>
      <c r="FR1064" s="36"/>
      <c r="FS1064" s="36"/>
      <c r="FT1064" s="36"/>
      <c r="FU1064" s="36"/>
      <c r="FV1064" s="36"/>
      <c r="FW1064" s="36"/>
      <c r="FX1064" s="36"/>
      <c r="FY1064" s="36"/>
      <c r="FZ1064" s="36"/>
      <c r="GA1064" s="36"/>
      <c r="GB1064" s="36"/>
      <c r="GC1064" s="36"/>
      <c r="GD1064" s="36"/>
      <c r="GE1064" s="36"/>
      <c r="GF1064" s="36"/>
      <c r="GG1064" s="36"/>
      <c r="GH1064" s="36"/>
      <c r="GI1064" s="36"/>
      <c r="GJ1064" s="36"/>
      <c r="GK1064" s="36"/>
      <c r="GL1064" s="36"/>
      <c r="GM1064" s="36"/>
      <c r="GN1064" s="36"/>
      <c r="GO1064" s="36"/>
      <c r="GP1064" s="36"/>
      <c r="GQ1064" s="36"/>
      <c r="GR1064" s="36"/>
      <c r="GS1064" s="36"/>
      <c r="GT1064" s="36"/>
      <c r="GU1064" s="36"/>
      <c r="GV1064" s="36"/>
      <c r="GW1064" s="36"/>
      <c r="GX1064" s="36"/>
      <c r="GY1064" s="36"/>
      <c r="GZ1064" s="36"/>
      <c r="HA1064" s="36"/>
      <c r="HB1064" s="36"/>
      <c r="HC1064" s="36"/>
      <c r="HD1064" s="36"/>
      <c r="HE1064" s="36"/>
      <c r="HF1064" s="36"/>
      <c r="HG1064" s="36"/>
      <c r="HH1064" s="36"/>
      <c r="HI1064" s="36"/>
      <c r="HJ1064" s="36"/>
      <c r="HK1064" s="36"/>
      <c r="HL1064" s="36"/>
      <c r="HM1064" s="36"/>
      <c r="HN1064" s="36"/>
      <c r="HO1064" s="36"/>
      <c r="HP1064" s="36"/>
      <c r="HQ1064" s="36"/>
      <c r="HR1064" s="36"/>
      <c r="HS1064" s="36"/>
      <c r="HT1064" s="36"/>
      <c r="HU1064" s="36"/>
      <c r="HV1064" s="36"/>
      <c r="HW1064" s="36"/>
      <c r="HX1064" s="36"/>
      <c r="HY1064" s="36"/>
      <c r="HZ1064" s="36"/>
      <c r="IA1064" s="36"/>
      <c r="IB1064" s="36"/>
      <c r="IC1064" s="36"/>
      <c r="ID1064" s="36"/>
      <c r="IE1064" s="36"/>
      <c r="IF1064" s="36"/>
      <c r="IG1064" s="36"/>
      <c r="IH1064" s="36"/>
      <c r="II1064" s="36"/>
      <c r="IJ1064" s="36"/>
      <c r="IK1064" s="36"/>
      <c r="IL1064" s="36"/>
      <c r="IM1064" s="36"/>
      <c r="IN1064" s="36"/>
      <c r="IO1064" s="36"/>
      <c r="IP1064" s="36"/>
      <c r="IQ1064" s="36"/>
      <c r="IR1064" s="36"/>
    </row>
    <row r="1065" spans="1:252" s="31" customFormat="1" x14ac:dyDescent="0.25">
      <c r="A1065" s="1"/>
      <c r="B1065" s="30"/>
      <c r="D1065" s="32"/>
      <c r="E1065" s="33"/>
      <c r="F1065" s="33"/>
      <c r="G1065" s="33"/>
      <c r="H1065" s="33"/>
      <c r="I1065" s="33"/>
      <c r="J1065" s="33"/>
      <c r="K1065" s="33"/>
      <c r="M1065" s="32"/>
      <c r="N1065" s="32"/>
      <c r="O1065" s="32"/>
      <c r="AD1065" s="33"/>
      <c r="AE1065" s="33"/>
      <c r="AF1065" s="33"/>
      <c r="AG1065" s="33"/>
      <c r="AH1065" s="33"/>
      <c r="AJ1065" s="34"/>
      <c r="AL1065" s="35"/>
      <c r="AM1065" s="36"/>
      <c r="AN1065" s="36"/>
      <c r="AO1065" s="36"/>
      <c r="AP1065" s="36"/>
      <c r="AQ1065" s="36"/>
      <c r="AR1065" s="36"/>
      <c r="AS1065" s="36"/>
      <c r="AT1065" s="36"/>
      <c r="AU1065" s="36"/>
      <c r="AV1065" s="36"/>
      <c r="AW1065" s="36"/>
      <c r="AX1065" s="36"/>
      <c r="AY1065" s="36"/>
      <c r="AZ1065" s="36"/>
      <c r="BA1065" s="36"/>
      <c r="BB1065" s="36"/>
      <c r="BC1065" s="36"/>
      <c r="BD1065" s="36"/>
      <c r="BE1065" s="36"/>
      <c r="BF1065" s="36"/>
      <c r="BG1065" s="36"/>
      <c r="BH1065" s="36"/>
      <c r="BI1065" s="36"/>
      <c r="BJ1065" s="36"/>
      <c r="BK1065" s="36"/>
      <c r="BL1065" s="36"/>
      <c r="BM1065" s="36"/>
      <c r="BN1065" s="36"/>
      <c r="BO1065" s="36"/>
      <c r="BP1065" s="36"/>
      <c r="BQ1065" s="36"/>
      <c r="BR1065" s="36"/>
      <c r="BS1065" s="36"/>
      <c r="BT1065" s="36"/>
      <c r="BU1065" s="36"/>
      <c r="BV1065" s="36"/>
      <c r="BW1065" s="36"/>
      <c r="BX1065" s="36"/>
      <c r="BY1065" s="36"/>
      <c r="BZ1065" s="36"/>
      <c r="CA1065" s="36"/>
      <c r="CB1065" s="36"/>
      <c r="CC1065" s="36"/>
      <c r="CD1065" s="36"/>
      <c r="CE1065" s="36"/>
      <c r="CF1065" s="36"/>
      <c r="CG1065" s="36"/>
      <c r="CH1065" s="36"/>
      <c r="CI1065" s="36"/>
      <c r="CJ1065" s="36"/>
      <c r="CK1065" s="36"/>
      <c r="CL1065" s="36"/>
      <c r="CM1065" s="36"/>
      <c r="CN1065" s="36"/>
      <c r="CO1065" s="36"/>
      <c r="CP1065" s="36"/>
      <c r="CQ1065" s="36"/>
      <c r="CR1065" s="36"/>
      <c r="CS1065" s="36"/>
      <c r="CT1065" s="36"/>
      <c r="CU1065" s="36"/>
      <c r="CV1065" s="36"/>
      <c r="CW1065" s="36"/>
      <c r="CX1065" s="36"/>
      <c r="CY1065" s="36"/>
      <c r="CZ1065" s="36"/>
      <c r="DA1065" s="36"/>
      <c r="DB1065" s="36"/>
      <c r="DC1065" s="36"/>
      <c r="DD1065" s="36"/>
      <c r="DE1065" s="36"/>
      <c r="DF1065" s="36"/>
      <c r="DG1065" s="36"/>
      <c r="DH1065" s="36"/>
      <c r="DI1065" s="36"/>
      <c r="DJ1065" s="36"/>
      <c r="DK1065" s="36"/>
      <c r="DL1065" s="36"/>
      <c r="DM1065" s="36"/>
      <c r="DN1065" s="36"/>
      <c r="DO1065" s="36"/>
      <c r="DP1065" s="36"/>
      <c r="DQ1065" s="36"/>
      <c r="DR1065" s="36"/>
      <c r="DS1065" s="36"/>
      <c r="DT1065" s="36"/>
      <c r="DU1065" s="36"/>
      <c r="DV1065" s="36"/>
      <c r="DW1065" s="36"/>
      <c r="DX1065" s="36"/>
      <c r="DY1065" s="36"/>
      <c r="DZ1065" s="36"/>
      <c r="EA1065" s="36"/>
      <c r="EB1065" s="36"/>
      <c r="EC1065" s="36"/>
      <c r="ED1065" s="36"/>
      <c r="EE1065" s="36"/>
      <c r="EF1065" s="36"/>
      <c r="EG1065" s="36"/>
      <c r="EH1065" s="36"/>
      <c r="EI1065" s="36"/>
      <c r="EJ1065" s="36"/>
      <c r="EK1065" s="36"/>
      <c r="EL1065" s="36"/>
      <c r="EM1065" s="36"/>
      <c r="EN1065" s="36"/>
      <c r="EO1065" s="36"/>
      <c r="EP1065" s="36"/>
      <c r="EQ1065" s="36"/>
      <c r="ER1065" s="36"/>
      <c r="ES1065" s="36"/>
      <c r="ET1065" s="36"/>
      <c r="EU1065" s="36"/>
      <c r="EV1065" s="36"/>
      <c r="EW1065" s="36"/>
      <c r="EX1065" s="36"/>
      <c r="EY1065" s="36"/>
      <c r="EZ1065" s="36"/>
      <c r="FA1065" s="36"/>
      <c r="FB1065" s="36"/>
      <c r="FC1065" s="36"/>
      <c r="FD1065" s="36"/>
      <c r="FE1065" s="36"/>
      <c r="FF1065" s="36"/>
      <c r="FG1065" s="36"/>
      <c r="FH1065" s="36"/>
      <c r="FI1065" s="36"/>
      <c r="FJ1065" s="36"/>
      <c r="FK1065" s="36"/>
      <c r="FL1065" s="36"/>
      <c r="FM1065" s="36"/>
      <c r="FN1065" s="36"/>
      <c r="FO1065" s="36"/>
      <c r="FP1065" s="36"/>
      <c r="FQ1065" s="36"/>
      <c r="FR1065" s="36"/>
      <c r="FS1065" s="36"/>
      <c r="FT1065" s="36"/>
      <c r="FU1065" s="36"/>
      <c r="FV1065" s="36"/>
      <c r="FW1065" s="36"/>
      <c r="FX1065" s="36"/>
      <c r="FY1065" s="36"/>
      <c r="FZ1065" s="36"/>
      <c r="GA1065" s="36"/>
      <c r="GB1065" s="36"/>
      <c r="GC1065" s="36"/>
      <c r="GD1065" s="36"/>
      <c r="GE1065" s="36"/>
      <c r="GF1065" s="36"/>
      <c r="GG1065" s="36"/>
      <c r="GH1065" s="36"/>
      <c r="GI1065" s="36"/>
      <c r="GJ1065" s="36"/>
      <c r="GK1065" s="36"/>
      <c r="GL1065" s="36"/>
      <c r="GM1065" s="36"/>
      <c r="GN1065" s="36"/>
      <c r="GO1065" s="36"/>
      <c r="GP1065" s="36"/>
      <c r="GQ1065" s="36"/>
      <c r="GR1065" s="36"/>
      <c r="GS1065" s="36"/>
      <c r="GT1065" s="36"/>
      <c r="GU1065" s="36"/>
      <c r="GV1065" s="36"/>
      <c r="GW1065" s="36"/>
      <c r="GX1065" s="36"/>
      <c r="GY1065" s="36"/>
      <c r="GZ1065" s="36"/>
      <c r="HA1065" s="36"/>
      <c r="HB1065" s="36"/>
      <c r="HC1065" s="36"/>
      <c r="HD1065" s="36"/>
      <c r="HE1065" s="36"/>
      <c r="HF1065" s="36"/>
      <c r="HG1065" s="36"/>
      <c r="HH1065" s="36"/>
      <c r="HI1065" s="36"/>
      <c r="HJ1065" s="36"/>
      <c r="HK1065" s="36"/>
      <c r="HL1065" s="36"/>
      <c r="HM1065" s="36"/>
      <c r="HN1065" s="36"/>
      <c r="HO1065" s="36"/>
      <c r="HP1065" s="36"/>
      <c r="HQ1065" s="36"/>
      <c r="HR1065" s="36"/>
      <c r="HS1065" s="36"/>
      <c r="HT1065" s="36"/>
      <c r="HU1065" s="36"/>
      <c r="HV1065" s="36"/>
      <c r="HW1065" s="36"/>
      <c r="HX1065" s="36"/>
      <c r="HY1065" s="36"/>
      <c r="HZ1065" s="36"/>
      <c r="IA1065" s="36"/>
      <c r="IB1065" s="36"/>
      <c r="IC1065" s="36"/>
      <c r="ID1065" s="36"/>
      <c r="IE1065" s="36"/>
      <c r="IF1065" s="36"/>
      <c r="IG1065" s="36"/>
      <c r="IH1065" s="36"/>
      <c r="II1065" s="36"/>
      <c r="IJ1065" s="36"/>
      <c r="IK1065" s="36"/>
      <c r="IL1065" s="36"/>
      <c r="IM1065" s="36"/>
      <c r="IN1065" s="36"/>
      <c r="IO1065" s="36"/>
      <c r="IP1065" s="36"/>
      <c r="IQ1065" s="36"/>
      <c r="IR1065" s="36"/>
    </row>
    <row r="1066" spans="1:252" s="31" customFormat="1" x14ac:dyDescent="0.25">
      <c r="A1066" s="1"/>
      <c r="B1066" s="30"/>
      <c r="D1066" s="32"/>
      <c r="E1066" s="33"/>
      <c r="F1066" s="33"/>
      <c r="G1066" s="33"/>
      <c r="H1066" s="33"/>
      <c r="I1066" s="33"/>
      <c r="J1066" s="33"/>
      <c r="K1066" s="33"/>
      <c r="M1066" s="32"/>
      <c r="N1066" s="32"/>
      <c r="O1066" s="32"/>
      <c r="AD1066" s="33"/>
      <c r="AE1066" s="33"/>
      <c r="AF1066" s="33"/>
      <c r="AG1066" s="33"/>
      <c r="AH1066" s="33"/>
      <c r="AJ1066" s="34"/>
      <c r="AL1066" s="35"/>
      <c r="AM1066" s="36"/>
      <c r="AN1066" s="36"/>
      <c r="AO1066" s="36"/>
      <c r="AP1066" s="36"/>
      <c r="AQ1066" s="36"/>
      <c r="AR1066" s="36"/>
      <c r="AS1066" s="36"/>
      <c r="AT1066" s="36"/>
      <c r="AU1066" s="36"/>
      <c r="AV1066" s="36"/>
      <c r="AW1066" s="36"/>
      <c r="AX1066" s="36"/>
      <c r="AY1066" s="36"/>
      <c r="AZ1066" s="36"/>
      <c r="BA1066" s="36"/>
      <c r="BB1066" s="36"/>
      <c r="BC1066" s="36"/>
      <c r="BD1066" s="36"/>
      <c r="BE1066" s="36"/>
      <c r="BF1066" s="36"/>
      <c r="BG1066" s="36"/>
      <c r="BH1066" s="36"/>
      <c r="BI1066" s="36"/>
      <c r="BJ1066" s="36"/>
      <c r="BK1066" s="36"/>
      <c r="BL1066" s="36"/>
      <c r="BM1066" s="36"/>
      <c r="BN1066" s="36"/>
      <c r="BO1066" s="36"/>
      <c r="BP1066" s="36"/>
      <c r="BQ1066" s="36"/>
      <c r="BR1066" s="36"/>
      <c r="BS1066" s="36"/>
      <c r="BT1066" s="36"/>
      <c r="BU1066" s="36"/>
      <c r="BV1066" s="36"/>
      <c r="BW1066" s="36"/>
      <c r="BX1066" s="36"/>
      <c r="BY1066" s="36"/>
      <c r="BZ1066" s="36"/>
      <c r="CA1066" s="36"/>
      <c r="CB1066" s="36"/>
      <c r="CC1066" s="36"/>
      <c r="CD1066" s="36"/>
      <c r="CE1066" s="36"/>
      <c r="CF1066" s="36"/>
      <c r="CG1066" s="36"/>
      <c r="CH1066" s="36"/>
      <c r="CI1066" s="36"/>
      <c r="CJ1066" s="36"/>
      <c r="CK1066" s="36"/>
      <c r="CL1066" s="36"/>
      <c r="CM1066" s="36"/>
      <c r="CN1066" s="36"/>
      <c r="CO1066" s="36"/>
      <c r="CP1066" s="36"/>
      <c r="CQ1066" s="36"/>
      <c r="CR1066" s="36"/>
      <c r="CS1066" s="36"/>
      <c r="CT1066" s="36"/>
      <c r="CU1066" s="36"/>
      <c r="CV1066" s="36"/>
      <c r="CW1066" s="36"/>
      <c r="CX1066" s="36"/>
      <c r="CY1066" s="36"/>
      <c r="CZ1066" s="36"/>
      <c r="DA1066" s="36"/>
      <c r="DB1066" s="36"/>
      <c r="DC1066" s="36"/>
      <c r="DD1066" s="36"/>
      <c r="DE1066" s="36"/>
      <c r="DF1066" s="36"/>
      <c r="DG1066" s="36"/>
      <c r="DH1066" s="36"/>
      <c r="DI1066" s="36"/>
      <c r="DJ1066" s="36"/>
      <c r="DK1066" s="36"/>
      <c r="DL1066" s="36"/>
      <c r="DM1066" s="36"/>
      <c r="DN1066" s="36"/>
      <c r="DO1066" s="36"/>
      <c r="DP1066" s="36"/>
      <c r="DQ1066" s="36"/>
      <c r="DR1066" s="36"/>
      <c r="DS1066" s="36"/>
      <c r="DT1066" s="36"/>
      <c r="DU1066" s="36"/>
      <c r="DV1066" s="36"/>
      <c r="DW1066" s="36"/>
      <c r="DX1066" s="36"/>
      <c r="DY1066" s="36"/>
      <c r="DZ1066" s="36"/>
      <c r="EA1066" s="36"/>
      <c r="EB1066" s="36"/>
      <c r="EC1066" s="36"/>
      <c r="ED1066" s="36"/>
      <c r="EE1066" s="36"/>
      <c r="EF1066" s="36"/>
      <c r="EG1066" s="36"/>
      <c r="EH1066" s="36"/>
      <c r="EI1066" s="36"/>
      <c r="EJ1066" s="36"/>
      <c r="EK1066" s="36"/>
      <c r="EL1066" s="36"/>
      <c r="EM1066" s="36"/>
      <c r="EN1066" s="36"/>
      <c r="EO1066" s="36"/>
      <c r="EP1066" s="36"/>
      <c r="EQ1066" s="36"/>
      <c r="ER1066" s="36"/>
      <c r="ES1066" s="36"/>
      <c r="ET1066" s="36"/>
      <c r="EU1066" s="36"/>
      <c r="EV1066" s="36"/>
      <c r="EW1066" s="36"/>
      <c r="EX1066" s="36"/>
      <c r="EY1066" s="36"/>
      <c r="EZ1066" s="36"/>
      <c r="FA1066" s="36"/>
      <c r="FB1066" s="36"/>
      <c r="FC1066" s="36"/>
      <c r="FD1066" s="36"/>
      <c r="FE1066" s="36"/>
      <c r="FF1066" s="36"/>
      <c r="FG1066" s="36"/>
      <c r="FH1066" s="36"/>
      <c r="FI1066" s="36"/>
      <c r="FJ1066" s="36"/>
      <c r="FK1066" s="36"/>
      <c r="FL1066" s="36"/>
      <c r="FM1066" s="36"/>
      <c r="FN1066" s="36"/>
      <c r="FO1066" s="36"/>
      <c r="FP1066" s="36"/>
      <c r="FQ1066" s="36"/>
      <c r="FR1066" s="36"/>
      <c r="FS1066" s="36"/>
      <c r="FT1066" s="36"/>
      <c r="FU1066" s="36"/>
      <c r="FV1066" s="36"/>
      <c r="FW1066" s="36"/>
      <c r="FX1066" s="36"/>
      <c r="FY1066" s="36"/>
      <c r="FZ1066" s="36"/>
      <c r="GA1066" s="36"/>
      <c r="GB1066" s="36"/>
      <c r="GC1066" s="36"/>
      <c r="GD1066" s="36"/>
      <c r="GE1066" s="36"/>
      <c r="GF1066" s="36"/>
      <c r="GG1066" s="36"/>
      <c r="GH1066" s="36"/>
      <c r="GI1066" s="36"/>
      <c r="GJ1066" s="36"/>
      <c r="GK1066" s="36"/>
      <c r="GL1066" s="36"/>
      <c r="GM1066" s="36"/>
      <c r="GN1066" s="36"/>
      <c r="GO1066" s="36"/>
      <c r="GP1066" s="36"/>
      <c r="GQ1066" s="36"/>
      <c r="GR1066" s="36"/>
      <c r="GS1066" s="36"/>
      <c r="GT1066" s="36"/>
      <c r="GU1066" s="36"/>
      <c r="GV1066" s="36"/>
      <c r="GW1066" s="36"/>
      <c r="GX1066" s="36"/>
      <c r="GY1066" s="36"/>
      <c r="GZ1066" s="36"/>
      <c r="HA1066" s="36"/>
      <c r="HB1066" s="36"/>
      <c r="HC1066" s="36"/>
      <c r="HD1066" s="36"/>
      <c r="HE1066" s="36"/>
      <c r="HF1066" s="36"/>
      <c r="HG1066" s="36"/>
      <c r="HH1066" s="36"/>
      <c r="HI1066" s="36"/>
      <c r="HJ1066" s="36"/>
      <c r="HK1066" s="36"/>
      <c r="HL1066" s="36"/>
      <c r="HM1066" s="36"/>
      <c r="HN1066" s="36"/>
      <c r="HO1066" s="36"/>
      <c r="HP1066" s="36"/>
      <c r="HQ1066" s="36"/>
      <c r="HR1066" s="36"/>
      <c r="HS1066" s="36"/>
      <c r="HT1066" s="36"/>
      <c r="HU1066" s="36"/>
      <c r="HV1066" s="36"/>
      <c r="HW1066" s="36"/>
      <c r="HX1066" s="36"/>
      <c r="HY1066" s="36"/>
      <c r="HZ1066" s="36"/>
      <c r="IA1066" s="36"/>
      <c r="IB1066" s="36"/>
      <c r="IC1066" s="36"/>
      <c r="ID1066" s="36"/>
      <c r="IE1066" s="36"/>
      <c r="IF1066" s="36"/>
      <c r="IG1066" s="36"/>
      <c r="IH1066" s="36"/>
      <c r="II1066" s="36"/>
      <c r="IJ1066" s="36"/>
      <c r="IK1066" s="36"/>
      <c r="IL1066" s="36"/>
      <c r="IM1066" s="36"/>
      <c r="IN1066" s="36"/>
      <c r="IO1066" s="36"/>
      <c r="IP1066" s="36"/>
      <c r="IQ1066" s="36"/>
      <c r="IR1066" s="36"/>
    </row>
  </sheetData>
  <mergeCells count="1">
    <mergeCell ref="B1:L1"/>
  </mergeCells>
  <pageMargins left="0.7" right="0.7" top="0.75" bottom="0.75" header="0.3" footer="0.3"/>
  <pageSetup scale="61" fitToWidth="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CDF3-D11C-489C-B86B-C7EE74E1ED3E}">
  <sheetPr>
    <pageSetUpPr fitToPage="1"/>
  </sheetPr>
  <dimension ref="A1:A31"/>
  <sheetViews>
    <sheetView topLeftCell="A7" workbookViewId="0">
      <selection activeCell="T11" sqref="T11"/>
    </sheetView>
  </sheetViews>
  <sheetFormatPr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1" spans="1:1" x14ac:dyDescent="0.25">
      <c r="A31" t="s">
        <v>66</v>
      </c>
    </row>
  </sheetData>
  <pageMargins left="0.7" right="0.7" top="0.75" bottom="0.75" header="0.3" footer="0.3"/>
  <pageSetup scale="7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BCA</vt:lpstr>
      <vt:lpstr>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Walker</dc:creator>
  <cp:lastModifiedBy>William Walker</cp:lastModifiedBy>
  <dcterms:created xsi:type="dcterms:W3CDTF">2021-07-08T19:55:39Z</dcterms:created>
  <dcterms:modified xsi:type="dcterms:W3CDTF">2021-07-09T17:09:42Z</dcterms:modified>
</cp:coreProperties>
</file>